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codeName="ThisWorkbook" defaultThemeVersion="124226"/>
  <mc:AlternateContent xmlns:mc="http://schemas.openxmlformats.org/markup-compatibility/2006">
    <mc:Choice Requires="x15">
      <x15ac:absPath xmlns:x15ac="http://schemas.microsoft.com/office/spreadsheetml/2010/11/ac" url="https://doimspp-my.sharepoint.com/personal/kdepaoli_blm_gov/Documents/Home_Drive/Kenneths/BONDING LIAISON POSITION/SRCE COST UPDATES/SRCE/SRCE Cost Update 2025/2025 PFCE/"/>
    </mc:Choice>
  </mc:AlternateContent>
  <xr:revisionPtr revIDLastSave="31" documentId="13_ncr:1_{22BD20A5-03A2-45BF-8FE1-675800392032}" xr6:coauthVersionLast="47" xr6:coauthVersionMax="47" xr10:uidLastSave="{CBAB5CE5-BD18-4A6F-A77D-5473E5E48289}"/>
  <workbookProtection workbookPassword="EEA2" lockStructure="1"/>
  <bookViews>
    <workbookView xWindow="-120" yWindow="-120" windowWidth="29040" windowHeight="15720" xr2:uid="{00000000-000D-0000-FFFF-FFFF00000000}"/>
  </bookViews>
  <sheets>
    <sheet name="Cost Summary" sheetId="6" r:id="rId1"/>
    <sheet name="User Inputs" sheetId="8" r:id="rId2"/>
    <sheet name="IFM " sheetId="1" r:id="rId3"/>
    <sheet name="Phase I" sheetId="9" r:id="rId4"/>
    <sheet name="Phase II" sheetId="22" r:id="rId5"/>
    <sheet name="Phase III" sheetId="23" r:id="rId6"/>
    <sheet name="Evaporation" sheetId="17" r:id="rId7"/>
    <sheet name="Unit Costs" sheetId="7" r:id="rId8"/>
    <sheet name="D-B Labor " sheetId="18" r:id="rId9"/>
  </sheets>
  <definedNames>
    <definedName name="_Order1" hidden="1">255</definedName>
    <definedName name="_Order2" hidden="1">255</definedName>
    <definedName name="_Parse_In" hidden="1">#REF!</definedName>
    <definedName name="_Parse_Out" hidden="1">#REF!</definedName>
    <definedName name="ANCILLARY">#REF!</definedName>
    <definedName name="CESS">#REF!</definedName>
    <definedName name="DEMO">#REF!</definedName>
    <definedName name="DIVERSION">#REF!</definedName>
    <definedName name="FACILTIES">#REF!</definedName>
    <definedName name="GEOLOGIC_EVAL">#REF!</definedName>
    <definedName name="HAULRD_STK">#REF!</definedName>
    <definedName name="LEACH">#REF!</definedName>
    <definedName name="OP_COST">#REF!</definedName>
    <definedName name="PONDS">#REF!</definedName>
    <definedName name="_xlnm.Print_Area" localSheetId="0">'Cost Summary'!$A$1:$I$42</definedName>
    <definedName name="_xlnm.Print_Area" localSheetId="8">'D-B Labor '!$A$1:$M$37</definedName>
    <definedName name="_xlnm.Print_Area" localSheetId="6">Evaporation!$A$1:$K$233</definedName>
    <definedName name="_xlnm.Print_Area" localSheetId="3">'Phase I'!$A$1:$N$279</definedName>
    <definedName name="_xlnm.Print_Area" localSheetId="4">'Phase II'!$A$1:$N$53</definedName>
    <definedName name="_xlnm.Print_Area" localSheetId="5">'Phase III'!$A$1:$N$62</definedName>
    <definedName name="_xlnm.Print_Area" localSheetId="7">'Unit Costs'!$A$1:$I$72</definedName>
    <definedName name="_xlnm.Print_Area" localSheetId="1">'User Inputs'!$A$1:$P$108</definedName>
    <definedName name="SEED">#REF!</definedName>
    <definedName name="TAILS">#REF!</definedName>
    <definedName name="WAS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8" l="1"/>
  <c r="I7" i="18" s="1"/>
  <c r="J7" i="18" s="1"/>
  <c r="A10" i="7" l="1"/>
  <c r="A9" i="7"/>
  <c r="A8" i="7"/>
  <c r="E26" i="8" l="1"/>
  <c r="D221" i="9" l="1"/>
  <c r="D170" i="9"/>
  <c r="D119" i="9"/>
  <c r="D249" i="1"/>
  <c r="D206" i="1"/>
  <c r="D163" i="1"/>
  <c r="J129" i="17" l="1"/>
  <c r="J184" i="17"/>
  <c r="J74" i="17"/>
  <c r="J77" i="17" s="1"/>
  <c r="J19" i="17"/>
  <c r="J22" i="17" s="1"/>
  <c r="D68" i="9"/>
  <c r="D118" i="1"/>
  <c r="H36" i="8"/>
  <c r="H35" i="8"/>
  <c r="H34" i="8"/>
  <c r="E118" i="1" s="1"/>
  <c r="H33" i="8"/>
  <c r="H32" i="8"/>
  <c r="H31" i="8"/>
  <c r="H30" i="8"/>
  <c r="K265" i="1"/>
  <c r="K222" i="1"/>
  <c r="K179" i="1"/>
  <c r="F265" i="1"/>
  <c r="F222" i="1"/>
  <c r="F179" i="1"/>
  <c r="K134" i="1"/>
  <c r="F134" i="1"/>
  <c r="K241" i="9"/>
  <c r="K190" i="9"/>
  <c r="K139" i="9"/>
  <c r="K88" i="9"/>
  <c r="J203" i="17"/>
  <c r="J148" i="17"/>
  <c r="J93" i="17"/>
  <c r="J38" i="17"/>
  <c r="A67" i="17"/>
  <c r="I49" i="7"/>
  <c r="J18" i="17"/>
  <c r="J35" i="17" s="1"/>
  <c r="J54" i="17"/>
  <c r="J109" i="17"/>
  <c r="J164" i="17"/>
  <c r="J219" i="17"/>
  <c r="J17" i="17"/>
  <c r="J197" i="17"/>
  <c r="J198" i="17" s="1"/>
  <c r="J142" i="17"/>
  <c r="J143" i="17" s="1"/>
  <c r="J87" i="17"/>
  <c r="J88" i="17" s="1"/>
  <c r="J183" i="17"/>
  <c r="J209" i="17" s="1"/>
  <c r="J182" i="17"/>
  <c r="J210" i="17"/>
  <c r="J196" i="17"/>
  <c r="J128" i="17"/>
  <c r="J154" i="17" s="1"/>
  <c r="J127" i="17"/>
  <c r="J155" i="17"/>
  <c r="J141" i="17"/>
  <c r="J73" i="17"/>
  <c r="J99" i="17" s="1"/>
  <c r="J72" i="17"/>
  <c r="J100" i="17"/>
  <c r="J86" i="17"/>
  <c r="J45" i="17"/>
  <c r="J32" i="17"/>
  <c r="J33" i="17" s="1"/>
  <c r="A177" i="17"/>
  <c r="A122" i="17"/>
  <c r="J31" i="17"/>
  <c r="G61" i="1"/>
  <c r="H61" i="1"/>
  <c r="I61" i="1"/>
  <c r="G62" i="1"/>
  <c r="H62" i="1"/>
  <c r="I62" i="1"/>
  <c r="G63" i="1"/>
  <c r="H63" i="1"/>
  <c r="I63" i="1"/>
  <c r="G64" i="1"/>
  <c r="H64" i="1"/>
  <c r="I64" i="1"/>
  <c r="F64" i="1"/>
  <c r="G65" i="1"/>
  <c r="J65" i="1" s="1"/>
  <c r="L65" i="1" s="1"/>
  <c r="G66" i="1"/>
  <c r="J66" i="1" s="1"/>
  <c r="F66" i="1"/>
  <c r="G67" i="1"/>
  <c r="J67" i="1" s="1"/>
  <c r="L67" i="1" s="1"/>
  <c r="G68" i="1"/>
  <c r="J68" i="1" s="1"/>
  <c r="L68" i="1" s="1"/>
  <c r="G33" i="8"/>
  <c r="F33" i="8"/>
  <c r="E33" i="8"/>
  <c r="F34" i="8"/>
  <c r="E117" i="9" s="1"/>
  <c r="G34" i="8"/>
  <c r="E205" i="1" s="1"/>
  <c r="K47" i="8"/>
  <c r="L47" i="8"/>
  <c r="M47" i="8"/>
  <c r="N47" i="8"/>
  <c r="I46" i="8"/>
  <c r="D7" i="9" s="1"/>
  <c r="J187" i="17"/>
  <c r="I48" i="8"/>
  <c r="D7" i="23" s="1"/>
  <c r="H49" i="7"/>
  <c r="G49" i="7"/>
  <c r="F49" i="7"/>
  <c r="A12" i="17"/>
  <c r="I56" i="8"/>
  <c r="I54" i="8"/>
  <c r="H31" i="23"/>
  <c r="K31" i="23" s="1"/>
  <c r="H30" i="23"/>
  <c r="K30" i="23" s="1"/>
  <c r="H29" i="23"/>
  <c r="K29" i="23" s="1"/>
  <c r="H28" i="23"/>
  <c r="K28" i="23" s="1"/>
  <c r="I27" i="23"/>
  <c r="H27" i="23"/>
  <c r="J27" i="23"/>
  <c r="I26" i="23"/>
  <c r="H26" i="23"/>
  <c r="J26" i="23"/>
  <c r="I25" i="23"/>
  <c r="H25" i="23"/>
  <c r="J25" i="23"/>
  <c r="I24" i="23"/>
  <c r="H24" i="23"/>
  <c r="J24" i="23"/>
  <c r="J31" i="23"/>
  <c r="I31" i="23" s="1"/>
  <c r="J30" i="23"/>
  <c r="I30" i="23" s="1"/>
  <c r="J29" i="23"/>
  <c r="I29" i="23" s="1"/>
  <c r="J28" i="23"/>
  <c r="I28" i="23" s="1"/>
  <c r="H31" i="22"/>
  <c r="K31" i="22" s="1"/>
  <c r="H30" i="22"/>
  <c r="K30" i="22" s="1"/>
  <c r="H29" i="22"/>
  <c r="K29" i="22" s="1"/>
  <c r="H28" i="22"/>
  <c r="K28" i="22" s="1"/>
  <c r="H27" i="22"/>
  <c r="I27" i="22"/>
  <c r="J27" i="22"/>
  <c r="H26" i="22"/>
  <c r="I26" i="22"/>
  <c r="J26" i="22"/>
  <c r="H25" i="22"/>
  <c r="I25" i="22"/>
  <c r="J25" i="22"/>
  <c r="H24" i="22"/>
  <c r="I24" i="22"/>
  <c r="J24" i="22"/>
  <c r="J31" i="22"/>
  <c r="I31" i="22" s="1"/>
  <c r="J30" i="22"/>
  <c r="I30" i="22" s="1"/>
  <c r="J29" i="22"/>
  <c r="I29" i="22" s="1"/>
  <c r="J28" i="22"/>
  <c r="I28" i="22" s="1"/>
  <c r="I68" i="1"/>
  <c r="H68" i="1" s="1"/>
  <c r="I67" i="1"/>
  <c r="H67" i="1" s="1"/>
  <c r="I66" i="1"/>
  <c r="H66" i="1" s="1"/>
  <c r="I65" i="1"/>
  <c r="H65" i="1" s="1"/>
  <c r="J28" i="9"/>
  <c r="I28" i="9" s="1"/>
  <c r="J27" i="9"/>
  <c r="I27" i="9" s="1"/>
  <c r="J26" i="9"/>
  <c r="I26" i="9" s="1"/>
  <c r="J25" i="9"/>
  <c r="I25" i="9" s="1"/>
  <c r="H28" i="9"/>
  <c r="K28" i="9" s="1"/>
  <c r="H27" i="9"/>
  <c r="K27" i="9" s="1"/>
  <c r="H26" i="9"/>
  <c r="K26" i="9" s="1"/>
  <c r="H25" i="9"/>
  <c r="K25" i="9" s="1"/>
  <c r="H24" i="9"/>
  <c r="H23" i="9"/>
  <c r="H22" i="9"/>
  <c r="H21" i="9"/>
  <c r="I24" i="9"/>
  <c r="J24" i="9"/>
  <c r="I23" i="9"/>
  <c r="J23" i="9"/>
  <c r="I22" i="9"/>
  <c r="J22" i="9"/>
  <c r="I21" i="9"/>
  <c r="J21" i="9"/>
  <c r="G14" i="9"/>
  <c r="H14" i="9" s="1"/>
  <c r="I14" i="9" s="1"/>
  <c r="F88" i="9"/>
  <c r="E27" i="8"/>
  <c r="B88" i="9"/>
  <c r="A88" i="9"/>
  <c r="B139" i="9"/>
  <c r="B190" i="9"/>
  <c r="B241" i="9"/>
  <c r="C241" i="9" s="1"/>
  <c r="F241" i="9"/>
  <c r="A241" i="9"/>
  <c r="A139" i="9"/>
  <c r="A190" i="9"/>
  <c r="F190" i="9"/>
  <c r="F139" i="9"/>
  <c r="B134" i="1"/>
  <c r="D134" i="1" s="1"/>
  <c r="B265" i="1"/>
  <c r="D265" i="1" s="1"/>
  <c r="B222" i="1"/>
  <c r="D222" i="1" s="1"/>
  <c r="B179" i="1"/>
  <c r="D179" i="1" s="1"/>
  <c r="H11" i="22"/>
  <c r="I11" i="22" s="1"/>
  <c r="H41" i="23"/>
  <c r="H42" i="23"/>
  <c r="K55" i="23"/>
  <c r="M55" i="23" s="1"/>
  <c r="K56" i="23"/>
  <c r="M56" i="23" s="1"/>
  <c r="K57" i="23"/>
  <c r="M57" i="23" s="1"/>
  <c r="K58" i="23"/>
  <c r="M58" i="23" s="1"/>
  <c r="H11" i="23"/>
  <c r="I11" i="23" s="1"/>
  <c r="H12" i="23"/>
  <c r="I12" i="23" s="1"/>
  <c r="H13" i="23"/>
  <c r="I13" i="23" s="1"/>
  <c r="H14" i="23"/>
  <c r="I14" i="23" s="1"/>
  <c r="A58" i="23"/>
  <c r="A57" i="23"/>
  <c r="A56" i="23"/>
  <c r="A55" i="23"/>
  <c r="H41" i="22"/>
  <c r="H42" i="22"/>
  <c r="H12" i="22"/>
  <c r="I12" i="22" s="1"/>
  <c r="H13" i="22"/>
  <c r="I13" i="22" s="1"/>
  <c r="H14" i="22"/>
  <c r="I14" i="22" s="1"/>
  <c r="D107" i="9"/>
  <c r="J123" i="9" s="1"/>
  <c r="D56" i="9"/>
  <c r="J72" i="9" s="1"/>
  <c r="H38" i="9"/>
  <c r="H39" i="9"/>
  <c r="D116" i="9"/>
  <c r="D117" i="9"/>
  <c r="E34" i="8"/>
  <c r="E116" i="9" s="1"/>
  <c r="D118" i="9"/>
  <c r="E35" i="8"/>
  <c r="F35" i="8"/>
  <c r="G35" i="8"/>
  <c r="E36" i="8"/>
  <c r="F36" i="8"/>
  <c r="G36" i="8"/>
  <c r="D167" i="9"/>
  <c r="D168" i="9"/>
  <c r="D169" i="9"/>
  <c r="D218" i="9"/>
  <c r="D219" i="9"/>
  <c r="D220" i="9"/>
  <c r="D65" i="9"/>
  <c r="D66" i="9"/>
  <c r="D67" i="9"/>
  <c r="H11" i="9"/>
  <c r="I11" i="9" s="1"/>
  <c r="H12" i="9"/>
  <c r="I12" i="9" s="1"/>
  <c r="H13" i="9"/>
  <c r="I13" i="9" s="1"/>
  <c r="D209" i="9"/>
  <c r="J223" i="9" s="1"/>
  <c r="D158" i="9"/>
  <c r="J172" i="9" s="1"/>
  <c r="A54" i="9"/>
  <c r="D61" i="9"/>
  <c r="A105" i="9"/>
  <c r="D112" i="9"/>
  <c r="F26" i="8"/>
  <c r="F27" i="8" s="1"/>
  <c r="A156" i="9"/>
  <c r="D163" i="9"/>
  <c r="D164" i="9"/>
  <c r="A207" i="9"/>
  <c r="D214" i="9"/>
  <c r="D215" i="9"/>
  <c r="H272" i="9"/>
  <c r="H273" i="9"/>
  <c r="H274" i="9"/>
  <c r="H275" i="9"/>
  <c r="H17" i="18"/>
  <c r="I17" i="18" s="1"/>
  <c r="H16" i="18"/>
  <c r="I16" i="18" s="1"/>
  <c r="H15" i="18"/>
  <c r="I15" i="18" s="1"/>
  <c r="H14" i="18"/>
  <c r="I14" i="18" s="1"/>
  <c r="H10" i="18"/>
  <c r="I10" i="18" s="1"/>
  <c r="H9" i="18"/>
  <c r="I9" i="18" s="1"/>
  <c r="H8" i="18"/>
  <c r="I8" i="18" s="1"/>
  <c r="A237" i="1"/>
  <c r="A194" i="1"/>
  <c r="A151" i="1"/>
  <c r="A106" i="1"/>
  <c r="H26" i="8"/>
  <c r="H27" i="8" s="1"/>
  <c r="G81" i="1"/>
  <c r="H81" i="1"/>
  <c r="G82" i="1"/>
  <c r="H82" i="1"/>
  <c r="L86" i="1"/>
  <c r="L92" i="1"/>
  <c r="D161" i="1"/>
  <c r="D160" i="1"/>
  <c r="D162" i="1"/>
  <c r="D205" i="1"/>
  <c r="D203" i="1"/>
  <c r="D204" i="1"/>
  <c r="D246" i="1"/>
  <c r="D247" i="1"/>
  <c r="D248" i="1"/>
  <c r="D115" i="1"/>
  <c r="D116" i="1"/>
  <c r="D117" i="1"/>
  <c r="K20" i="1"/>
  <c r="K21" i="1"/>
  <c r="F67" i="8"/>
  <c r="F21" i="1" s="1"/>
  <c r="E33" i="1"/>
  <c r="G21" i="1" s="1"/>
  <c r="K22" i="1"/>
  <c r="K23" i="1"/>
  <c r="H23" i="1"/>
  <c r="K27" i="1"/>
  <c r="I27" i="1"/>
  <c r="J27" i="1" s="1"/>
  <c r="K28" i="1"/>
  <c r="E67" i="8"/>
  <c r="E32" i="1" s="1"/>
  <c r="I32" i="1"/>
  <c r="K32" i="1"/>
  <c r="K33" i="1"/>
  <c r="K45" i="1"/>
  <c r="K46" i="1"/>
  <c r="K47" i="1"/>
  <c r="J47" i="1"/>
  <c r="H9" i="1"/>
  <c r="I9" i="1" s="1"/>
  <c r="J9" i="1" s="1"/>
  <c r="H10" i="1"/>
  <c r="I10" i="1" s="1"/>
  <c r="J10" i="1" s="1"/>
  <c r="H11" i="1"/>
  <c r="I11" i="1" s="1"/>
  <c r="J11" i="1" s="1"/>
  <c r="H12" i="1"/>
  <c r="I12" i="1" s="1"/>
  <c r="J12" i="1" s="1"/>
  <c r="H20" i="1"/>
  <c r="I28" i="1"/>
  <c r="J28" i="1" s="1"/>
  <c r="I33" i="1"/>
  <c r="J45" i="1"/>
  <c r="J46" i="1"/>
  <c r="H294" i="1"/>
  <c r="H295" i="1"/>
  <c r="H296" i="1"/>
  <c r="H297" i="1"/>
  <c r="D156" i="1"/>
  <c r="D111" i="1"/>
  <c r="D243" i="1"/>
  <c r="D242" i="1"/>
  <c r="D200" i="1"/>
  <c r="D199" i="1"/>
  <c r="F68" i="8"/>
  <c r="G26" i="8"/>
  <c r="G27" i="8" s="1"/>
  <c r="G32" i="8"/>
  <c r="F32" i="8"/>
  <c r="E32" i="8"/>
  <c r="G31" i="8"/>
  <c r="F31" i="8"/>
  <c r="E31" i="8"/>
  <c r="G33" i="1"/>
  <c r="F33" i="1"/>
  <c r="G32" i="1"/>
  <c r="F32" i="1"/>
  <c r="H28" i="1"/>
  <c r="G28" i="1"/>
  <c r="H27" i="1"/>
  <c r="G27" i="1"/>
  <c r="G30" i="8"/>
  <c r="F30" i="8"/>
  <c r="E30" i="8"/>
  <c r="C19" i="6"/>
  <c r="C18" i="6"/>
  <c r="C17" i="6"/>
  <c r="C16" i="6"/>
  <c r="J90" i="17"/>
  <c r="J200" i="17"/>
  <c r="J132" i="17"/>
  <c r="J190" i="17" l="1"/>
  <c r="J34" i="17"/>
  <c r="J36" i="17" s="1"/>
  <c r="J37" i="17" s="1"/>
  <c r="J199" i="17"/>
  <c r="J201" i="17" s="1"/>
  <c r="J202" i="17" s="1"/>
  <c r="J64" i="1"/>
  <c r="L64" i="1" s="1"/>
  <c r="E162" i="1"/>
  <c r="J102" i="17"/>
  <c r="J103" i="17" s="1"/>
  <c r="J105" i="17" s="1"/>
  <c r="E248" i="1"/>
  <c r="E220" i="9"/>
  <c r="E161" i="1"/>
  <c r="J108" i="17"/>
  <c r="J111" i="17" s="1"/>
  <c r="J112" i="17" s="1"/>
  <c r="J114" i="17" s="1"/>
  <c r="J163" i="17"/>
  <c r="J166" i="17" s="1"/>
  <c r="J167" i="17" s="1"/>
  <c r="J169" i="17" s="1"/>
  <c r="J135" i="17"/>
  <c r="J212" i="17"/>
  <c r="J213" i="17" s="1"/>
  <c r="J215" i="17" s="1"/>
  <c r="E204" i="1"/>
  <c r="E67" i="9"/>
  <c r="E168" i="9"/>
  <c r="J218" i="17"/>
  <c r="J221" i="17" s="1"/>
  <c r="J222" i="17" s="1"/>
  <c r="J224" i="17" s="1"/>
  <c r="J145" i="17"/>
  <c r="E66" i="9"/>
  <c r="E219" i="9"/>
  <c r="E116" i="1"/>
  <c r="K175" i="9"/>
  <c r="J63" i="1"/>
  <c r="L63" i="1" s="1"/>
  <c r="J25" i="17"/>
  <c r="J28" i="17" s="1"/>
  <c r="J62" i="1"/>
  <c r="L62" i="1" s="1"/>
  <c r="F22" i="1"/>
  <c r="J44" i="17"/>
  <c r="J47" i="17" s="1"/>
  <c r="J48" i="17" s="1"/>
  <c r="J50" i="17" s="1"/>
  <c r="G26" i="23"/>
  <c r="G29" i="23"/>
  <c r="M29" i="23" s="1"/>
  <c r="G31" i="23"/>
  <c r="M31" i="23" s="1"/>
  <c r="J124" i="9"/>
  <c r="J13" i="23"/>
  <c r="J11" i="23"/>
  <c r="L46" i="1"/>
  <c r="J61" i="1"/>
  <c r="L61" i="1" s="1"/>
  <c r="J53" i="17"/>
  <c r="J56" i="17" s="1"/>
  <c r="J57" i="17" s="1"/>
  <c r="J59" i="17" s="1"/>
  <c r="J33" i="1"/>
  <c r="L33" i="1" s="1"/>
  <c r="J80" i="17"/>
  <c r="J32" i="1"/>
  <c r="L32" i="1" s="1"/>
  <c r="K225" i="9"/>
  <c r="M225" i="9" s="1"/>
  <c r="C139" i="9"/>
  <c r="K27" i="23"/>
  <c r="M27" i="23" s="1"/>
  <c r="K25" i="22"/>
  <c r="K25" i="23"/>
  <c r="K24" i="23"/>
  <c r="L27" i="1"/>
  <c r="J89" i="17"/>
  <c r="J91" i="17" s="1"/>
  <c r="J92" i="17" s="1"/>
  <c r="E247" i="1"/>
  <c r="G30" i="23"/>
  <c r="M30" i="23" s="1"/>
  <c r="G42" i="23"/>
  <c r="I42" i="23" s="1"/>
  <c r="K14" i="18"/>
  <c r="J14" i="18"/>
  <c r="L14" i="18"/>
  <c r="G24" i="23"/>
  <c r="G28" i="23"/>
  <c r="M28" i="23" s="1"/>
  <c r="G22" i="1"/>
  <c r="G25" i="23"/>
  <c r="M46" i="23"/>
  <c r="G41" i="23"/>
  <c r="I41" i="23" s="1"/>
  <c r="I82" i="1"/>
  <c r="K123" i="9"/>
  <c r="M123" i="9" s="1"/>
  <c r="C190" i="9"/>
  <c r="C88" i="9"/>
  <c r="K24" i="22"/>
  <c r="J144" i="17"/>
  <c r="K72" i="9"/>
  <c r="M72" i="9" s="1"/>
  <c r="E246" i="1"/>
  <c r="E163" i="1"/>
  <c r="E206" i="1"/>
  <c r="E249" i="1"/>
  <c r="E68" i="9"/>
  <c r="E119" i="9"/>
  <c r="E170" i="9"/>
  <c r="E221" i="9"/>
  <c r="I47" i="8"/>
  <c r="D7" i="22" s="1"/>
  <c r="K21" i="9"/>
  <c r="K23" i="9"/>
  <c r="L28" i="1"/>
  <c r="K22" i="9"/>
  <c r="K24" i="9"/>
  <c r="K27" i="22"/>
  <c r="L66" i="1"/>
  <c r="L45" i="1"/>
  <c r="J70" i="9"/>
  <c r="J73" i="9"/>
  <c r="K73" i="9"/>
  <c r="K226" i="9"/>
  <c r="M226" i="9" s="1"/>
  <c r="J121" i="9"/>
  <c r="K60" i="23"/>
  <c r="M60" i="23" s="1"/>
  <c r="E169" i="9"/>
  <c r="K124" i="9"/>
  <c r="E117" i="1"/>
  <c r="E118" i="9"/>
  <c r="K26" i="22"/>
  <c r="K26" i="23"/>
  <c r="L17" i="18"/>
  <c r="K17" i="18"/>
  <c r="J17" i="18"/>
  <c r="L16" i="18"/>
  <c r="J16" i="18"/>
  <c r="K16" i="18"/>
  <c r="K15" i="18"/>
  <c r="J15" i="18"/>
  <c r="L15" i="18"/>
  <c r="L10" i="18"/>
  <c r="J10" i="18"/>
  <c r="K10" i="18"/>
  <c r="J9" i="18"/>
  <c r="K9" i="18"/>
  <c r="L9" i="18"/>
  <c r="K174" i="9"/>
  <c r="J14" i="23"/>
  <c r="J12" i="23"/>
  <c r="G179" i="1"/>
  <c r="G139" i="9"/>
  <c r="H139" i="9" s="1"/>
  <c r="I139" i="9" s="1"/>
  <c r="D113" i="9"/>
  <c r="D157" i="1"/>
  <c r="I81" i="1"/>
  <c r="E160" i="1"/>
  <c r="E65" i="9"/>
  <c r="E203" i="1"/>
  <c r="E167" i="9"/>
  <c r="E218" i="9"/>
  <c r="L20" i="1"/>
  <c r="E115" i="1"/>
  <c r="G134" i="1"/>
  <c r="H134" i="1" s="1"/>
  <c r="I134" i="1" s="1"/>
  <c r="L134" i="1" s="1"/>
  <c r="L138" i="1" s="1"/>
  <c r="L140" i="1" s="1"/>
  <c r="K146" i="1" s="1"/>
  <c r="J294" i="1" s="1"/>
  <c r="D62" i="9"/>
  <c r="G88" i="9"/>
  <c r="H88" i="9" s="1"/>
  <c r="I88" i="9" s="1"/>
  <c r="D112" i="1"/>
  <c r="G27" i="9"/>
  <c r="M27" i="9" s="1"/>
  <c r="G22" i="9"/>
  <c r="M43" i="9"/>
  <c r="J175" i="9"/>
  <c r="G25" i="9"/>
  <c r="M25" i="9" s="1"/>
  <c r="G39" i="9"/>
  <c r="I39" i="9" s="1"/>
  <c r="G24" i="9"/>
  <c r="G21" i="9"/>
  <c r="G23" i="9"/>
  <c r="J174" i="9"/>
  <c r="J12" i="9"/>
  <c r="J13" i="9"/>
  <c r="J11" i="9"/>
  <c r="G26" i="9"/>
  <c r="M26" i="9" s="1"/>
  <c r="G38" i="9"/>
  <c r="I38" i="9" s="1"/>
  <c r="G28" i="9"/>
  <c r="M28" i="9" s="1"/>
  <c r="J14" i="9"/>
  <c r="J157" i="17"/>
  <c r="J158" i="17" s="1"/>
  <c r="J160" i="17" s="1"/>
  <c r="L47" i="1"/>
  <c r="L23" i="1"/>
  <c r="G265" i="1"/>
  <c r="G241" i="9"/>
  <c r="H241" i="9" s="1"/>
  <c r="I241" i="9" s="1"/>
  <c r="M241" i="9" s="1"/>
  <c r="M245" i="9" s="1"/>
  <c r="M247" i="9" s="1"/>
  <c r="K253" i="9" s="1"/>
  <c r="J275" i="9" s="1"/>
  <c r="K8" i="18"/>
  <c r="J8" i="18"/>
  <c r="L8" i="18"/>
  <c r="G222" i="1"/>
  <c r="G190" i="9"/>
  <c r="H190" i="9" s="1"/>
  <c r="I190" i="9" s="1"/>
  <c r="K7" i="18"/>
  <c r="L7" i="18"/>
  <c r="H21" i="1"/>
  <c r="L21" i="1" s="1"/>
  <c r="J191" i="17" l="1"/>
  <c r="J193" i="17"/>
  <c r="J205" i="17" s="1"/>
  <c r="J136" i="17"/>
  <c r="J138" i="17"/>
  <c r="J81" i="17"/>
  <c r="J83" i="17"/>
  <c r="J95" i="17"/>
  <c r="M26" i="23"/>
  <c r="M190" i="9"/>
  <c r="M194" i="9" s="1"/>
  <c r="M196" i="9" s="1"/>
  <c r="K202" i="9" s="1"/>
  <c r="J274" i="9" s="1"/>
  <c r="J146" i="17"/>
  <c r="J147" i="17" s="1"/>
  <c r="K223" i="9"/>
  <c r="M223" i="9" s="1"/>
  <c r="M227" i="9" s="1"/>
  <c r="M229" i="9" s="1"/>
  <c r="M231" i="9" s="1"/>
  <c r="J253" i="9" s="1"/>
  <c r="I275" i="9" s="1"/>
  <c r="M275" i="9" s="1"/>
  <c r="M139" i="9"/>
  <c r="M143" i="9" s="1"/>
  <c r="M145" i="9" s="1"/>
  <c r="K151" i="9" s="1"/>
  <c r="J273" i="9" s="1"/>
  <c r="M124" i="9"/>
  <c r="M174" i="9"/>
  <c r="K121" i="9"/>
  <c r="M121" i="9" s="1"/>
  <c r="M125" i="9" s="1"/>
  <c r="K251" i="1"/>
  <c r="L251" i="1" s="1"/>
  <c r="L253" i="1" s="1"/>
  <c r="L255" i="1" s="1"/>
  <c r="L257" i="1" s="1"/>
  <c r="J275" i="1" s="1"/>
  <c r="I297" i="1" s="1"/>
  <c r="K172" i="9"/>
  <c r="M172" i="9" s="1"/>
  <c r="M176" i="9" s="1"/>
  <c r="K208" i="1"/>
  <c r="L208" i="1" s="1"/>
  <c r="L210" i="1" s="1"/>
  <c r="L212" i="1" s="1"/>
  <c r="L214" i="1" s="1"/>
  <c r="J232" i="1" s="1"/>
  <c r="I296" i="1" s="1"/>
  <c r="L73" i="1"/>
  <c r="J101" i="1" s="1"/>
  <c r="I292" i="1" s="1"/>
  <c r="M175" i="9"/>
  <c r="K165" i="1"/>
  <c r="L165" i="1" s="1"/>
  <c r="L167" i="1" s="1"/>
  <c r="L169" i="1" s="1"/>
  <c r="L171" i="1" s="1"/>
  <c r="J189" i="1" s="1"/>
  <c r="I295" i="1" s="1"/>
  <c r="M7" i="18"/>
  <c r="F8" i="7" s="1"/>
  <c r="L49" i="1"/>
  <c r="M16" i="18"/>
  <c r="G10" i="7" s="1"/>
  <c r="M15" i="18"/>
  <c r="G9" i="7" s="1"/>
  <c r="H22" i="1"/>
  <c r="L22" i="1" s="1"/>
  <c r="L35" i="1" s="1"/>
  <c r="J61" i="17"/>
  <c r="J26" i="17"/>
  <c r="M24" i="9"/>
  <c r="M23" i="9"/>
  <c r="M24" i="23"/>
  <c r="L84" i="1"/>
  <c r="L96" i="1" s="1"/>
  <c r="K101" i="1" s="1"/>
  <c r="J292" i="1" s="1"/>
  <c r="M22" i="9"/>
  <c r="M25" i="23"/>
  <c r="M21" i="9"/>
  <c r="M44" i="23"/>
  <c r="M48" i="23" s="1"/>
  <c r="K52" i="23" s="1"/>
  <c r="K62" i="23" s="1"/>
  <c r="G29" i="6" s="1"/>
  <c r="M17" i="18"/>
  <c r="G11" i="7" s="1"/>
  <c r="M88" i="9"/>
  <c r="M92" i="9" s="1"/>
  <c r="M94" i="9" s="1"/>
  <c r="K100" i="9" s="1"/>
  <c r="J272" i="9" s="1"/>
  <c r="M9" i="18"/>
  <c r="F10" i="7" s="1"/>
  <c r="M14" i="18"/>
  <c r="G8" i="7" s="1"/>
  <c r="J40" i="17"/>
  <c r="G31" i="22"/>
  <c r="M31" i="22" s="1"/>
  <c r="G25" i="22"/>
  <c r="M25" i="22" s="1"/>
  <c r="G24" i="22"/>
  <c r="M24" i="22" s="1"/>
  <c r="J11" i="22"/>
  <c r="G28" i="22"/>
  <c r="M28" i="22" s="1"/>
  <c r="M46" i="22"/>
  <c r="G29" i="22"/>
  <c r="M29" i="22" s="1"/>
  <c r="K70" i="9"/>
  <c r="M70" i="9" s="1"/>
  <c r="M74" i="9" s="1"/>
  <c r="K120" i="1"/>
  <c r="L120" i="1" s="1"/>
  <c r="L122" i="1" s="1"/>
  <c r="L124" i="1" s="1"/>
  <c r="L126" i="1" s="1"/>
  <c r="J146" i="1" s="1"/>
  <c r="M73" i="9"/>
  <c r="J14" i="22"/>
  <c r="G42" i="22"/>
  <c r="I42" i="22" s="1"/>
  <c r="J12" i="22"/>
  <c r="G26" i="22"/>
  <c r="M26" i="22" s="1"/>
  <c r="M10" i="18"/>
  <c r="F11" i="7" s="1"/>
  <c r="M8" i="18"/>
  <c r="F9" i="7" s="1"/>
  <c r="H265" i="1"/>
  <c r="I265" i="1" s="1"/>
  <c r="L265" i="1" s="1"/>
  <c r="L267" i="1" s="1"/>
  <c r="L269" i="1" s="1"/>
  <c r="K275" i="1" s="1"/>
  <c r="H179" i="1"/>
  <c r="I179" i="1" s="1"/>
  <c r="L179" i="1" s="1"/>
  <c r="L181" i="1" s="1"/>
  <c r="L183" i="1" s="1"/>
  <c r="K189" i="1" s="1"/>
  <c r="H222" i="1"/>
  <c r="I222" i="1" s="1"/>
  <c r="L222" i="1" s="1"/>
  <c r="L224" i="1" s="1"/>
  <c r="L226" i="1" s="1"/>
  <c r="K232" i="1" s="1"/>
  <c r="M41" i="9"/>
  <c r="M45" i="9" s="1"/>
  <c r="K49" i="9" s="1"/>
  <c r="J270" i="9" s="1"/>
  <c r="G30" i="22"/>
  <c r="M30" i="22" s="1"/>
  <c r="G27" i="22"/>
  <c r="M27" i="22" s="1"/>
  <c r="G41" i="22"/>
  <c r="I41" i="22" s="1"/>
  <c r="J13" i="22"/>
  <c r="J171" i="17"/>
  <c r="J116" i="17"/>
  <c r="J226" i="17"/>
  <c r="J150" i="17" l="1"/>
  <c r="J118" i="17"/>
  <c r="J228" i="17"/>
  <c r="J173" i="17"/>
  <c r="I233" i="17"/>
  <c r="G33" i="6" s="1"/>
  <c r="M253" i="9"/>
  <c r="M35" i="23"/>
  <c r="J52" i="23" s="1"/>
  <c r="J62" i="23" s="1"/>
  <c r="F29" i="6" s="1"/>
  <c r="M32" i="9"/>
  <c r="J49" i="9" s="1"/>
  <c r="I270" i="9" s="1"/>
  <c r="J277" i="9"/>
  <c r="G27" i="6" s="1"/>
  <c r="M44" i="22"/>
  <c r="M48" i="22" s="1"/>
  <c r="K52" i="22" s="1"/>
  <c r="G28" i="6" s="1"/>
  <c r="J63" i="17"/>
  <c r="K256" i="9"/>
  <c r="M127" i="9"/>
  <c r="M129" i="9" s="1"/>
  <c r="J151" i="9" s="1"/>
  <c r="M151" i="9" s="1"/>
  <c r="M76" i="9"/>
  <c r="M78" i="9" s="1"/>
  <c r="J100" i="9" s="1"/>
  <c r="M100" i="9" s="1"/>
  <c r="I294" i="1"/>
  <c r="L294" i="1" s="1"/>
  <c r="J278" i="1"/>
  <c r="L146" i="1"/>
  <c r="M178" i="9"/>
  <c r="M180" i="9" s="1"/>
  <c r="J202" i="9" s="1"/>
  <c r="M35" i="22"/>
  <c r="J52" i="22" s="1"/>
  <c r="F28" i="6" s="1"/>
  <c r="J296" i="1"/>
  <c r="L296" i="1" s="1"/>
  <c r="L232" i="1"/>
  <c r="J297" i="1"/>
  <c r="L297" i="1" s="1"/>
  <c r="L275" i="1"/>
  <c r="J295" i="1"/>
  <c r="K278" i="1"/>
  <c r="L189" i="1"/>
  <c r="H233" i="17"/>
  <c r="K12" i="1" l="1"/>
  <c r="K14" i="9" s="1"/>
  <c r="M14" i="9" s="1"/>
  <c r="K11" i="1"/>
  <c r="K13" i="23" s="1"/>
  <c r="M13" i="23" s="1"/>
  <c r="K9" i="1"/>
  <c r="L9" i="1" s="1"/>
  <c r="K10" i="1"/>
  <c r="K12" i="23" s="1"/>
  <c r="M12" i="23" s="1"/>
  <c r="J233" i="17"/>
  <c r="I272" i="9"/>
  <c r="M272" i="9" s="1"/>
  <c r="J299" i="1"/>
  <c r="J301" i="1" s="1"/>
  <c r="G24" i="6" s="1"/>
  <c r="L278" i="1"/>
  <c r="L295" i="1"/>
  <c r="I301" i="1"/>
  <c r="F24" i="6" s="1"/>
  <c r="I273" i="9"/>
  <c r="M273" i="9" s="1"/>
  <c r="J256" i="9"/>
  <c r="M256" i="9" s="1"/>
  <c r="M202" i="9"/>
  <c r="I274" i="9"/>
  <c r="F33" i="6"/>
  <c r="I33" i="6" s="1"/>
  <c r="G31" i="6"/>
  <c r="G35" i="6" s="1"/>
  <c r="K12" i="22" l="1"/>
  <c r="M12" i="22" s="1"/>
  <c r="K11" i="22"/>
  <c r="M11" i="22" s="1"/>
  <c r="M18" i="22" s="1"/>
  <c r="I52" i="22" s="1"/>
  <c r="E28" i="6" s="1"/>
  <c r="I28" i="6" s="1"/>
  <c r="L11" i="1"/>
  <c r="K13" i="22"/>
  <c r="M13" i="22" s="1"/>
  <c r="K13" i="9"/>
  <c r="M13" i="9" s="1"/>
  <c r="K14" i="22"/>
  <c r="M14" i="22" s="1"/>
  <c r="L12" i="1"/>
  <c r="K14" i="23"/>
  <c r="M14" i="23" s="1"/>
  <c r="K11" i="9"/>
  <c r="M11" i="9" s="1"/>
  <c r="L10" i="1"/>
  <c r="K11" i="23"/>
  <c r="M11" i="23" s="1"/>
  <c r="K12" i="9"/>
  <c r="M12" i="9" s="1"/>
  <c r="G38" i="6"/>
  <c r="M274" i="9"/>
  <c r="I277" i="9"/>
  <c r="M18" i="23" l="1"/>
  <c r="I52" i="23" s="1"/>
  <c r="I62" i="23" s="1"/>
  <c r="E29" i="6" s="1"/>
  <c r="I29" i="6" s="1"/>
  <c r="L14" i="1"/>
  <c r="L51" i="1" s="1"/>
  <c r="I101" i="1" s="1"/>
  <c r="L101" i="1" s="1"/>
  <c r="M16" i="9"/>
  <c r="I49" i="9" s="1"/>
  <c r="M49" i="9" s="1"/>
  <c r="M52" i="22"/>
  <c r="F27" i="6"/>
  <c r="F31" i="6" s="1"/>
  <c r="F35" i="6" s="1"/>
  <c r="F38" i="6" s="1"/>
  <c r="M52" i="23" l="1"/>
  <c r="M62" i="23" s="1"/>
  <c r="H292" i="1"/>
  <c r="L292" i="1" s="1"/>
  <c r="H270" i="9"/>
  <c r="H277" i="9" s="1"/>
  <c r="E27" i="6" s="1"/>
  <c r="E31" i="6" s="1"/>
  <c r="E35" i="6" s="1"/>
  <c r="I27" i="6" l="1"/>
  <c r="I31" i="6" s="1"/>
  <c r="I35" i="6" s="1"/>
  <c r="H301" i="1"/>
  <c r="E24" i="6" s="1"/>
  <c r="I24" i="6" s="1"/>
  <c r="M270" i="9"/>
  <c r="M277" i="9"/>
  <c r="I38" i="6" l="1"/>
  <c r="L301" i="1"/>
  <c r="E38" i="6"/>
</calcChain>
</file>

<file path=xl/sharedStrings.xml><?xml version="1.0" encoding="utf-8"?>
<sst xmlns="http://schemas.openxmlformats.org/spreadsheetml/2006/main" count="1133" uniqueCount="434">
  <si>
    <t>General Laborers</t>
  </si>
  <si>
    <t>Security Personnel</t>
  </si>
  <si>
    <t>Electrician/Welder</t>
  </si>
  <si>
    <t>Administrative</t>
  </si>
  <si>
    <t>On-Site Supervisor</t>
  </si>
  <si>
    <t>Six Month</t>
  </si>
  <si>
    <t>Total</t>
  </si>
  <si>
    <t>LABOR REQUIREMENTS</t>
  </si>
  <si>
    <t>EQUIPMENT REQUIREMENTS</t>
  </si>
  <si>
    <t>Pump Rental</t>
  </si>
  <si>
    <t>Backhoe (CAT 420D)</t>
  </si>
  <si>
    <t>Pickup Truck</t>
  </si>
  <si>
    <t>each</t>
  </si>
  <si>
    <t>Generator (5 KW)</t>
  </si>
  <si>
    <t>Welding Equipment</t>
  </si>
  <si>
    <t>HDPE Welder (pipe or liner)</t>
  </si>
  <si>
    <t>Support Equipment Rentals</t>
  </si>
  <si>
    <t>Motor Grader (CAT 14G) - if required for snow removal</t>
  </si>
  <si>
    <t xml:space="preserve">Pump Rental Cost </t>
  </si>
  <si>
    <t>Program Director</t>
  </si>
  <si>
    <t>Interim Plan Development and Mobilization</t>
  </si>
  <si>
    <t>Final Permanent Closure Plan Development</t>
  </si>
  <si>
    <t>Subtotal Site-Workers</t>
  </si>
  <si>
    <t>hr/day</t>
  </si>
  <si>
    <t># mo</t>
  </si>
  <si>
    <t>total hr</t>
  </si>
  <si>
    <t>hr/mo</t>
  </si>
  <si>
    <t>Type</t>
  </si>
  <si>
    <t>NDEP Profile II Water</t>
  </si>
  <si>
    <t>cost $/ea</t>
  </si>
  <si>
    <t>Subtotal Sampling and Lab Costs</t>
  </si>
  <si>
    <t>Field Technician(2)</t>
  </si>
  <si>
    <t>Senior Engineer/Geologist</t>
  </si>
  <si>
    <t>Field Technician</t>
  </si>
  <si>
    <t>Misc. Costs (phones, shipping, supplies, etc. @ $1,000 per month)</t>
  </si>
  <si>
    <t xml:space="preserve">MATERIAL REQUIREMENTS </t>
  </si>
  <si>
    <t>TOTAL LABOR</t>
  </si>
  <si>
    <t>TOTAL EQUIPMENT</t>
  </si>
  <si>
    <t>TOTAL MATERIALS</t>
  </si>
  <si>
    <t>Weekly Status Reports, Quarterly Reports</t>
  </si>
  <si>
    <t>Interim Fluid Management</t>
  </si>
  <si>
    <t>Labor</t>
  </si>
  <si>
    <t>Equipment</t>
  </si>
  <si>
    <t>Materials</t>
  </si>
  <si>
    <t>Phase I</t>
  </si>
  <si>
    <t>Phase II</t>
  </si>
  <si>
    <t>Phase III</t>
  </si>
  <si>
    <t>Operational Pumping Rate (gpm)</t>
  </si>
  <si>
    <t>Mileage rate</t>
  </si>
  <si>
    <t xml:space="preserve">Motor Grader (CAT 14G) </t>
  </si>
  <si>
    <t>per hour</t>
  </si>
  <si>
    <t>per month</t>
  </si>
  <si>
    <t>EQUIPMENT RENTAL COSTS</t>
  </si>
  <si>
    <t xml:space="preserve">Full per diem rate </t>
  </si>
  <si>
    <t xml:space="preserve">Partial per diem rate </t>
  </si>
  <si>
    <t>MISC. COSTS</t>
  </si>
  <si>
    <t>NDEP Profile II Water analysis</t>
  </si>
  <si>
    <t xml:space="preserve">Hazardous Waste Disposal </t>
  </si>
  <si>
    <t>yellow cells are from Unit Costs sheet</t>
  </si>
  <si>
    <t>Notes:</t>
  </si>
  <si>
    <t>Company Name:</t>
  </si>
  <si>
    <t>Submittal Date:</t>
  </si>
  <si>
    <t>Process Fluid Stabilization</t>
  </si>
  <si>
    <t>Active Evaporation</t>
  </si>
  <si>
    <t xml:space="preserve">NEVADA STANDARDIZED </t>
  </si>
  <si>
    <t>PROCESS FLUID STABILIZATION (PFS)</t>
  </si>
  <si>
    <t xml:space="preserve">INTERIM FLUID MANAGEMENT  (IFM) </t>
  </si>
  <si>
    <t>SUMMARY</t>
  </si>
  <si>
    <t>Total PFS (Phases I-III)</t>
  </si>
  <si>
    <t xml:space="preserve">Diesel Fuel </t>
  </si>
  <si>
    <t>per gallon</t>
  </si>
  <si>
    <t># of pumps</t>
  </si>
  <si>
    <t>HH-225c</t>
  </si>
  <si>
    <t>Pump # 1</t>
  </si>
  <si>
    <t>HH-150</t>
  </si>
  <si>
    <t>HH-125c</t>
  </si>
  <si>
    <t>Model Number</t>
  </si>
  <si>
    <t>Monthly Maintenance Rate (24/7 operation)</t>
  </si>
  <si>
    <t xml:space="preserve">Pump Selection </t>
  </si>
  <si>
    <t>Pump # 2</t>
  </si>
  <si>
    <t>Pump Rental Cost Pump # 1</t>
  </si>
  <si>
    <t>Pump Rental Cost Pump # 2</t>
  </si>
  <si>
    <t>Pump # 3</t>
  </si>
  <si>
    <t>Pump Rental Cost Pump # 3</t>
  </si>
  <si>
    <t>Environmental fees</t>
  </si>
  <si>
    <t xml:space="preserve">Pump Maintenance </t>
  </si>
  <si>
    <t xml:space="preserve">Total Pump Cost </t>
  </si>
  <si>
    <t>High Head</t>
  </si>
  <si>
    <t xml:space="preserve">Pumps </t>
  </si>
  <si>
    <t>Monthly Maintenance Rate - 24/7 operation (2)</t>
  </si>
  <si>
    <t>total days</t>
  </si>
  <si>
    <t># per shift</t>
  </si>
  <si>
    <t>hrs. per shift</t>
  </si>
  <si>
    <t>shifts per day</t>
  </si>
  <si>
    <t>days per wk.</t>
  </si>
  <si>
    <t>hrs. per wk.</t>
  </si>
  <si>
    <t>hrs. per mo.</t>
  </si>
  <si>
    <t>total hrs.</t>
  </si>
  <si>
    <t># of wks.</t>
  </si>
  <si>
    <t>rate per hr.</t>
  </si>
  <si>
    <t>rate per day</t>
  </si>
  <si>
    <t>rate per mile</t>
  </si>
  <si>
    <t># of each</t>
  </si>
  <si>
    <t># of mo.</t>
  </si>
  <si>
    <t>rate per mo.</t>
  </si>
  <si>
    <t>Totals</t>
  </si>
  <si>
    <t>Total Head (feet)</t>
  </si>
  <si>
    <t>Project Name:</t>
  </si>
  <si>
    <t>total cost</t>
  </si>
  <si>
    <t>$/month</t>
  </si>
  <si>
    <t>Misc. parts and supplies (10% of pump rental costs)</t>
  </si>
  <si>
    <t>Office Trailer</t>
  </si>
  <si>
    <t>Portable Toilet</t>
  </si>
  <si>
    <t>Phase I Duration (months)</t>
  </si>
  <si>
    <t>Phase III Duration (months)</t>
  </si>
  <si>
    <t>Evaporation</t>
  </si>
  <si>
    <t>WPCP Number(s):</t>
  </si>
  <si>
    <t xml:space="preserve">Sampling </t>
  </si>
  <si>
    <t>NDEP Profile I Water</t>
  </si>
  <si>
    <t>NDEP Profile I Water analysis</t>
  </si>
  <si>
    <t>quarterly</t>
  </si>
  <si>
    <t>annually</t>
  </si>
  <si>
    <t>NDEP Profile I Water -  # of samples analyzed:</t>
  </si>
  <si>
    <t>weekly</t>
  </si>
  <si>
    <t>monthly</t>
  </si>
  <si>
    <t>semi-</t>
  </si>
  <si>
    <t>NDEP Profile II Water -  # of samples analyzed:</t>
  </si>
  <si>
    <t># samples</t>
  </si>
  <si>
    <t>Sampling and Lab Costs (for 6 months)</t>
  </si>
  <si>
    <t>miles</t>
  </si>
  <si>
    <t>Snow Removal</t>
  </si>
  <si>
    <t>Pumping systems must be consistent with approved WPCP</t>
  </si>
  <si>
    <t xml:space="preserve">Total Head (feet) </t>
  </si>
  <si>
    <t xml:space="preserve">Recirculation </t>
  </si>
  <si>
    <t>WPCP No.(s)</t>
  </si>
  <si>
    <t>on-site</t>
  </si>
  <si>
    <t xml:space="preserve">start-up </t>
  </si>
  <si>
    <t xml:space="preserve"> hrs.</t>
  </si>
  <si>
    <t>total</t>
  </si>
  <si>
    <t>billing</t>
  </si>
  <si>
    <t>Senior Engineer(1)</t>
  </si>
  <si>
    <t>senior engr.</t>
  </si>
  <si>
    <t>field tech.</t>
  </si>
  <si>
    <t># of trips (weeks)</t>
  </si>
  <si>
    <t>hrs./wk.</t>
  </si>
  <si>
    <t xml:space="preserve">total </t>
  </si>
  <si>
    <t>(3)  From Carson City, Nevada to nearest town to site having hotel accommodations. One round trip per week.</t>
  </si>
  <si>
    <t>One-Way Mileage to hotel accommodations (3)</t>
  </si>
  <si>
    <t>One-Way Mileage from hotel to site (4)</t>
  </si>
  <si>
    <t>per diem</t>
  </si>
  <si>
    <t>round trips</t>
  </si>
  <si>
    <t>per week</t>
  </si>
  <si>
    <t>mileage</t>
  </si>
  <si>
    <t>total round</t>
  </si>
  <si>
    <t>trips</t>
  </si>
  <si>
    <t>of per diem</t>
  </si>
  <si>
    <t>one-way</t>
  </si>
  <si>
    <t xml:space="preserve">green cells are for User Inputs on this page </t>
  </si>
  <si>
    <t>round trip (3)</t>
  </si>
  <si>
    <t>to hotel</t>
  </si>
  <si>
    <t>to site</t>
  </si>
  <si>
    <t xml:space="preserve">(1)  Senior Engineer - 2 week start-up time and 16 hrs/week (2, 4 hr. days &amp; 1, 8 hr. day) every other week on-site.  </t>
  </si>
  <si>
    <t xml:space="preserve">(2)  Field Technician - 2 week start-up time and 16 hrs./week (2, 4 hr. days &amp; 1, 8 hr. day) every week on-site.  </t>
  </si>
  <si>
    <t>round trips (4)</t>
  </si>
  <si>
    <t>(4)  From town to site. Three round trips per week.</t>
  </si>
  <si>
    <t>Hazardous Waste Disposal</t>
  </si>
  <si>
    <t>Health, Environmental, and Safety Plan Development</t>
  </si>
  <si>
    <t>Full per diem (lodging + meals) - 2 days/trip</t>
  </si>
  <si>
    <t>Partial per diem (meals only) - 1 day/trip</t>
  </si>
  <si>
    <t># of weeks</t>
  </si>
  <si>
    <t>Winnemucca</t>
  </si>
  <si>
    <t>Battle Mountain</t>
  </si>
  <si>
    <t>Ely</t>
  </si>
  <si>
    <t>Tonopah</t>
  </si>
  <si>
    <t>Hadley</t>
  </si>
  <si>
    <t>town</t>
  </si>
  <si>
    <t>hours</t>
  </si>
  <si>
    <t xml:space="preserve">Road miles from hotel to site </t>
  </si>
  <si>
    <t xml:space="preserve">miles </t>
  </si>
  <si>
    <t>Yes</t>
  </si>
  <si>
    <t>No</t>
  </si>
  <si>
    <t>Is snow plowing in winter necessary to manage the facility?</t>
  </si>
  <si>
    <t>acceptable method.  Provide supporting documentation.</t>
  </si>
  <si>
    <t xml:space="preserve">Time-frames to be determined by HLDE or other </t>
  </si>
  <si>
    <t>Senior Engineer</t>
  </si>
  <si>
    <t>Total volume evaporated (millions of gallons)</t>
  </si>
  <si>
    <t xml:space="preserve">IFM Travel </t>
  </si>
  <si>
    <t>Process Fluid Stabilization (PFS)</t>
  </si>
  <si>
    <t xml:space="preserve">Site Workers </t>
  </si>
  <si>
    <t xml:space="preserve">Site Workers  </t>
  </si>
  <si>
    <t xml:space="preserve">Site Workers (SRCE &amp; Davis-Bacon Wage Rates) </t>
  </si>
  <si>
    <t xml:space="preserve">Interim Fluid Management (IFM) </t>
  </si>
  <si>
    <t>Eureka</t>
  </si>
  <si>
    <t xml:space="preserve">      provide calculations for friction head loss (i.e. Hazen-Williams equation and length of pipe).</t>
  </si>
  <si>
    <t xml:space="preserve">RPM </t>
  </si>
  <si>
    <t>RPM</t>
  </si>
  <si>
    <t>B.E.P. Flow Rate (gpm)</t>
  </si>
  <si>
    <t>B.E.P. Head (feet)</t>
  </si>
  <si>
    <t>B.E.P. Head @ given RPM (feet)</t>
  </si>
  <si>
    <t xml:space="preserve">Security Personnel </t>
  </si>
  <si>
    <t xml:space="preserve">Sampling and Lab Costs </t>
  </si>
  <si>
    <t>per KW-hr</t>
  </si>
  <si>
    <t xml:space="preserve">Electrical Power Cost </t>
  </si>
  <si>
    <t>Power Costs</t>
  </si>
  <si>
    <t>Evaporator pumping capacity (gpm)</t>
  </si>
  <si>
    <t>Evaporator operating period (hr./day)</t>
  </si>
  <si>
    <t xml:space="preserve">Evaporation efficiency </t>
  </si>
  <si>
    <t>Volume evaporated (gal/hr.)</t>
  </si>
  <si>
    <t>Volume evaporated (gal/day)</t>
  </si>
  <si>
    <t>Hours needed for evaporation</t>
  </si>
  <si>
    <t xml:space="preserve">     Add pumps in series to get required head and in parallel to get required flow.   Do not have more than two pumps in series.</t>
  </si>
  <si>
    <t>Beatty</t>
  </si>
  <si>
    <t>Hawthorne</t>
  </si>
  <si>
    <t>Fallon</t>
  </si>
  <si>
    <t>Lovelock</t>
  </si>
  <si>
    <t>Las Vegas</t>
  </si>
  <si>
    <t xml:space="preserve">Site Map  </t>
  </si>
  <si>
    <t>Is map included showing facilities and monitoring locations?</t>
  </si>
  <si>
    <t>Enter total actual annual invoice(s) amount from last year.</t>
  </si>
  <si>
    <t xml:space="preserve">Road miles from Carson City to hotel  </t>
  </si>
  <si>
    <t xml:space="preserve">Shared Costs  </t>
  </si>
  <si>
    <t>Non-Shared Costs</t>
  </si>
  <si>
    <t>Total Costs</t>
  </si>
  <si>
    <t>COST SUMMARY</t>
  </si>
  <si>
    <t>Total Shared Costs</t>
  </si>
  <si>
    <t>Per approved Water Pollution Control Permit(s) (WPCP)</t>
  </si>
  <si>
    <t>Northern Nevada</t>
  </si>
  <si>
    <t>Southern Nevada</t>
  </si>
  <si>
    <t xml:space="preserve">Is Project in Clark, Esmeralda, Lincoln, or Nye County? </t>
  </si>
  <si>
    <t>Base</t>
  </si>
  <si>
    <t>Fringes</t>
  </si>
  <si>
    <t>FICA</t>
  </si>
  <si>
    <t>UE</t>
  </si>
  <si>
    <t>WC</t>
  </si>
  <si>
    <t>On-Site Supervisor (SRCE-from R.S. Means)</t>
  </si>
  <si>
    <t>Total Shared Costs Phase II</t>
  </si>
  <si>
    <t>Total Shared Costs Phase III</t>
  </si>
  <si>
    <t>ET Cell Conversion Costs</t>
  </si>
  <si>
    <t>Total Non-Shared Costs Phase III</t>
  </si>
  <si>
    <t>TOTAL COSTS</t>
  </si>
  <si>
    <t>Monthly Cycle (rental) Rate (24/7 operation)</t>
  </si>
  <si>
    <t>ET Cell Conversion Cost*</t>
  </si>
  <si>
    <t>*Provide supporting documentation for estimated cost.</t>
  </si>
  <si>
    <t>TOTAL MATERIALS (POWER COST)</t>
  </si>
  <si>
    <t>Monthly Environmental Fee</t>
  </si>
  <si>
    <t xml:space="preserve">   Additional labor and support equipment may be required for larger sites having  </t>
  </si>
  <si>
    <t>SITE</t>
  </si>
  <si>
    <t>Phase I &amp; Phase II</t>
  </si>
  <si>
    <t>SITE Phase I Duration (months)</t>
  </si>
  <si>
    <t>SITE Phase II Duration (months)</t>
  </si>
  <si>
    <t>SITE Phase III Duration (months)</t>
  </si>
  <si>
    <t>Phase I Site Supervision</t>
  </si>
  <si>
    <t>Is Site Supervisor for reclamation present during Phase I?</t>
  </si>
  <si>
    <t>If answer is yes, include reference to page in document.</t>
  </si>
  <si>
    <t>gpm</t>
  </si>
  <si>
    <t>mgal</t>
  </si>
  <si>
    <t>Total volume recirculated (millions of gallons)</t>
  </si>
  <si>
    <t>Recirculation</t>
  </si>
  <si>
    <t>flow (gpm)</t>
  </si>
  <si>
    <t>total head (ft)</t>
  </si>
  <si>
    <t>hp</t>
  </si>
  <si>
    <t>Pump Rate</t>
  </si>
  <si>
    <t>total hp</t>
  </si>
  <si>
    <t>Environmental Fee (3)</t>
  </si>
  <si>
    <t>total hp*</t>
  </si>
  <si>
    <t>*Assumes 90% pump efficiency</t>
  </si>
  <si>
    <t>n/a</t>
  </si>
  <si>
    <t>rental</t>
  </si>
  <si>
    <t>cost</t>
  </si>
  <si>
    <t>operating</t>
  </si>
  <si>
    <t>operating hrs</t>
  </si>
  <si>
    <t>* Percent of time support equipment assumed operating during a 176 hour month</t>
  </si>
  <si>
    <t>operating cost</t>
  </si>
  <si>
    <t>per mo.</t>
  </si>
  <si>
    <t>per mo*</t>
  </si>
  <si>
    <t>per hr.</t>
  </si>
  <si>
    <t>rental rate</t>
  </si>
  <si>
    <t>Average evaporator efficiency during months of operation</t>
  </si>
  <si>
    <t>Total power consumption for all evaporators (kw)</t>
  </si>
  <si>
    <t>Monthly Rental Rate - 24/7 operation (1)</t>
  </si>
  <si>
    <t>Average evaporation efficiency during months of operation</t>
  </si>
  <si>
    <t>Evaporator Costs</t>
  </si>
  <si>
    <t>Total Evaporator Cost</t>
  </si>
  <si>
    <t>Sub-Total Evaporator Cost</t>
  </si>
  <si>
    <t>Total Monthly Rental Rate</t>
  </si>
  <si>
    <t>Total power consumption for all evaporators (hp)</t>
  </si>
  <si>
    <t>Sub-Total Pump Cost</t>
  </si>
  <si>
    <t>Total Pump Cost</t>
  </si>
  <si>
    <t>Parts &amp; Maintenance (10% of Total)</t>
  </si>
  <si>
    <t xml:space="preserve">TOTAL EQUIPMENT COSTS </t>
  </si>
  <si>
    <t>Number of dual-pack evaporators</t>
  </si>
  <si>
    <t>Cost per dual-pack evaporator</t>
  </si>
  <si>
    <t>Power consumption per dual pack evaporator (hp)</t>
  </si>
  <si>
    <t>Pump Costs (for pumping to evaporator location)</t>
  </si>
  <si>
    <t>Static head between pond and evaporator location (ft)</t>
  </si>
  <si>
    <t xml:space="preserve">Number of dual-pack evaporators used </t>
  </si>
  <si>
    <t>Power consumption per dual pack evaporator (two evap. fans &amp; 1 pump) (kw)</t>
  </si>
  <si>
    <t>Assumptions:</t>
  </si>
  <si>
    <t>Use industrial evaporators to remove solution inventory</t>
  </si>
  <si>
    <t>Additional pumping power necessary if evaporators are located above pond level (i.e. on heap)</t>
  </si>
  <si>
    <t>Additional pump power determined by formula  hp = (gpm x static head)/(3960 x 0.9) + 25% for friction losses</t>
  </si>
  <si>
    <t>Each unit has 2, 40 hp fans and 1, 30 hp pump and consumes 51 kw (68 hp) per manufacturer</t>
  </si>
  <si>
    <t xml:space="preserve">Power consumption per evaporator to pump to evaporator location (hp) </t>
  </si>
  <si>
    <t xml:space="preserve">Total power consumption per evaporator (hp) </t>
  </si>
  <si>
    <t xml:space="preserve">Maintenance and repair costs are assumed 10% of purchase price </t>
  </si>
  <si>
    <t>Evaporator unit to have minimum 500 foot double-lined containment for overspray on all sides.</t>
  </si>
  <si>
    <t>Capital cost per pump</t>
  </si>
  <si>
    <t xml:space="preserve">Evaporation Equipment </t>
  </si>
  <si>
    <t>approval time due to the standardization of costs and methodologies.</t>
  </si>
  <si>
    <t xml:space="preserve">Note:  Use of this bond cost calculator is not required, but operators using these </t>
  </si>
  <si>
    <t xml:space="preserve">spreadsheets may realize a quicker preparation time as well as a faster agency </t>
  </si>
  <si>
    <t xml:space="preserve">      This may require evaporator placement on heap leach pad and additional pumping power to overcome elevation head.</t>
  </si>
  <si>
    <t xml:space="preserve">       Provide site-specific details for placement of evaporators.</t>
  </si>
  <si>
    <t>Recirculation pumps are rented (short time frame).  Equipment for evaporation is purchased (longer time frame).</t>
  </si>
  <si>
    <t xml:space="preserve">     Only include the actual number of months that evaporators are running.</t>
  </si>
  <si>
    <t>Number of HH-80 pumps (1 pump per 2 dual pack evaporators)</t>
  </si>
  <si>
    <t>Electric power cost per kw-hr</t>
  </si>
  <si>
    <t>Electric Power Costs</t>
  </si>
  <si>
    <t>total kw</t>
  </si>
  <si>
    <t>Total Electric Power Costs</t>
  </si>
  <si>
    <t>Electric Power costs</t>
  </si>
  <si>
    <t>$/kw-hr</t>
  </si>
  <si>
    <t>Pumps at pond level if needed for additional head to pump to evaporator location (HH-80, B.E.P. 350 gpm @ 330 ft head)</t>
  </si>
  <si>
    <t>All evaporation equipment (evaporators, pumps) are purchased</t>
  </si>
  <si>
    <t>Elko</t>
  </si>
  <si>
    <t>PROCESS FLUIDS COST ESTIMATOR</t>
  </si>
  <si>
    <t>N/A</t>
  </si>
  <si>
    <t>Electric Power Deposit Fee*</t>
  </si>
  <si>
    <t>Heap Leach Pad (HLP) and Tailings Storage Facility (TSF)</t>
  </si>
  <si>
    <t>Facility-1 Name</t>
  </si>
  <si>
    <t>Facility-2 Name</t>
  </si>
  <si>
    <t>Facility-3 Name</t>
  </si>
  <si>
    <t>Facility-4 Name*</t>
  </si>
  <si>
    <t xml:space="preserve">*  If more than four facilities, enter in separate Process Fluids Cost Estimator.  </t>
  </si>
  <si>
    <t xml:space="preserve">   multiple facilities separated by considerable distances.</t>
  </si>
  <si>
    <t>Static Head (feet) (1)</t>
  </si>
  <si>
    <t>Pressure Head (feet) (2)</t>
  </si>
  <si>
    <t>Friction Head (feet) (3)</t>
  </si>
  <si>
    <t>B.E.P. Flow Rate @ given RPM (gpm) (4)</t>
  </si>
  <si>
    <t xml:space="preserve">Facility </t>
  </si>
  <si>
    <t>Facility-1</t>
  </si>
  <si>
    <t>Facility-2</t>
  </si>
  <si>
    <t>Facility-3</t>
  </si>
  <si>
    <t>Facility-4</t>
  </si>
  <si>
    <t>Facility</t>
  </si>
  <si>
    <t>Phase I Duration (months) (6)</t>
  </si>
  <si>
    <t>Phase II Duration (months) (7)</t>
  </si>
  <si>
    <t>(1)  Static head is the difference in elevation between pumps and discharge point</t>
  </si>
  <si>
    <t xml:space="preserve">      For tailings storage facilities the pressure head may be zero.</t>
  </si>
  <si>
    <t xml:space="preserve">(3)  Friction head is estimated as 25% of Static Head. If this value is not used, </t>
  </si>
  <si>
    <t xml:space="preserve">(4)  B.E.P. = Best Efficiency Point for pump operation at given RPM. </t>
  </si>
  <si>
    <t>(5)  Use B.E.P. to select pump(s) required to handle operational pumping rate at total head required.</t>
  </si>
  <si>
    <t>(6)  Input number of months HLDE or other model shows recirculation is taking place.</t>
  </si>
  <si>
    <t xml:space="preserve">(7)  Input number of months HLDE or other model shows active evaporation is taking place.  </t>
  </si>
  <si>
    <t>Total volume evaporated (millions of gallons) (8)</t>
  </si>
  <si>
    <t>Static Head between pond and evaporator location (ft) (9)</t>
  </si>
  <si>
    <t>Number of 160 gpm Dual Pac evaporators used (10)</t>
  </si>
  <si>
    <t>Select nearest town with hotel (11)</t>
  </si>
  <si>
    <t xml:space="preserve">(9)  Evaporators must have a minimum 500 foot clearance of approved containment for overspray.  </t>
  </si>
  <si>
    <t>(11)  IFM travel mileage is from Carson City, Nevada to town with hotel nearest to site.</t>
  </si>
  <si>
    <t>(8)  Include volume of supernatant pool if a tailings storage facility</t>
  </si>
  <si>
    <t xml:space="preserve">     Phase II duration for SITE will be selected from longest HLP or TSF Phase I + Phase II duration less SITE Phase I duration.</t>
  </si>
  <si>
    <t xml:space="preserve">     Phase I duration for SITE will be selected from HLP or TSF with longest Phase I duration.  </t>
  </si>
  <si>
    <t>(2)  Pressure head is the operating pressure necessary for irrigation system in place (emitters, impact sprinklers, wobblers, etc.).</t>
  </si>
  <si>
    <t>Select # of pumps for each model for Facility-1 (5)</t>
  </si>
  <si>
    <t xml:space="preserve">Select # of pumps for each model for Facility-2 </t>
  </si>
  <si>
    <t xml:space="preserve">Select # of pumps for each model for Facility-3 </t>
  </si>
  <si>
    <t xml:space="preserve">Select # of pumps for each model for Facility-4 </t>
  </si>
  <si>
    <t>SHARED COSTS FOR ALL FACILITIES</t>
  </si>
  <si>
    <t>NON-SHARED COSTS SPECIFIC TO EACH FACILITY</t>
  </si>
  <si>
    <t>Total Non-Shared Costs for Facility-1</t>
  </si>
  <si>
    <t>Total Non-Shared Costs for Facility-2</t>
  </si>
  <si>
    <t>Total Non-Shared Costs for Facility-3</t>
  </si>
  <si>
    <t>Total Non-Shared Costs for Facility-4</t>
  </si>
  <si>
    <t>Total Non-Shared Costs for All Facilities</t>
  </si>
  <si>
    <t>TOTAL EVAPORATION COSTS FOR FACILITY-1</t>
  </si>
  <si>
    <t>TOTAL EVAPORATION COSTS FOR FACILITY-2</t>
  </si>
  <si>
    <t>TOTAL EVAPORATION COSTS FOR FACILITY-3</t>
  </si>
  <si>
    <t>TOTAL EVAPORATION COSTS FOR FACILITY-4</t>
  </si>
  <si>
    <t>Total Evaporation Costs All Facilities</t>
  </si>
  <si>
    <t>Pump # 4</t>
  </si>
  <si>
    <t>Pump Rental Cost Pump # 4</t>
  </si>
  <si>
    <t xml:space="preserve">Heap Leach Pad and Tailings Storage Facility </t>
  </si>
  <si>
    <t>Pumps for Elevation Head (HH-80c) (3)</t>
  </si>
  <si>
    <t>HH-80c</t>
  </si>
  <si>
    <t>Security Personal</t>
  </si>
  <si>
    <t>On-site Supervisor</t>
  </si>
  <si>
    <t>Common or General</t>
  </si>
  <si>
    <t>Mason Tender Cement/Concrete</t>
  </si>
  <si>
    <t>Electrician</t>
  </si>
  <si>
    <t>Category</t>
  </si>
  <si>
    <t>Description</t>
  </si>
  <si>
    <t>Group</t>
  </si>
  <si>
    <t>Code</t>
  </si>
  <si>
    <t>Common or General, landscape</t>
  </si>
  <si>
    <t>Zone Adjustment</t>
  </si>
  <si>
    <t>Laborer</t>
  </si>
  <si>
    <t xml:space="preserve">Electrician/Welder </t>
  </si>
  <si>
    <t>Union wages assumed.</t>
  </si>
  <si>
    <t>Base + Fringes</t>
  </si>
  <si>
    <t>Add Add'l Fringes</t>
  </si>
  <si>
    <t>- Clark Building</t>
  </si>
  <si>
    <t>- Clark Heavy</t>
  </si>
  <si>
    <t>- Elko Building</t>
  </si>
  <si>
    <t>($) per mile</t>
  </si>
  <si>
    <t>($) per day</t>
  </si>
  <si>
    <t xml:space="preserve">Grand Total = IFM + PFS + Evaporation </t>
  </si>
  <si>
    <t>Total PFS + Evaporation</t>
  </si>
  <si>
    <t>DB LABO0169-034</t>
  </si>
  <si>
    <t>DB ELEC0401-010</t>
  </si>
  <si>
    <t>DB LABO0872-015</t>
  </si>
  <si>
    <t xml:space="preserve">CEM Contractor Site Worker Oversight </t>
  </si>
  <si>
    <t>Subtotal CEM Contractor Site Worker Oversight</t>
  </si>
  <si>
    <t xml:space="preserve">CEM Contractor Reporting </t>
  </si>
  <si>
    <t>*An electric power deposit in the amount of two months anticipated billing is required to establish a new account (service) with the power company.  The amount of the deposit is calculated by dividing the total six-month IFM electric bill by three to obtain two months of anticipated billing.  The electric power deposit fee amount is calculated assuming that the CEM contractor would acquire a line-of-credit at an 8% APR to fund the deposit.  The deposit amount would be returned to the CEM contractor one month after the six-month IFM period so the CEM contractor would be paying interest on the deposit for seven months.  The CEM contractor would bill the agency for the interest it paid plus its overhead  costs (assumed to be 15%) on the total interest paid.   Example:  if the total IFM electric bill for six-months is $300,000, the two months bill would be $300,000/3 = $100,000.  Seven months of interest at an 8% APR would be $100,000(.08)(7/12) = $4,667.  Adding overhead costs of 15%,  the total fee charged to the agency would be $4,667(1.15) = $5,367.</t>
  </si>
  <si>
    <t>Subtotal CEM Contractor Reporting</t>
  </si>
  <si>
    <t>(10)  EcoMister Dual-Pac evaporators include 2, 40 hp motor evaporators and 1, 30 hp pump, dual unit pumps 160 gpm aloft.</t>
  </si>
  <si>
    <t>EcoMister Dual Pack evaporator units are used that pump 160 gpm aloft at 150 psi</t>
  </si>
  <si>
    <t>CEM Contractor (Consulting Rates)</t>
  </si>
  <si>
    <t>EcoMister Standard Dual Pack Evaporator (2)</t>
  </si>
  <si>
    <t>DB ELEC0357-010</t>
  </si>
  <si>
    <t>Final Plan for Permanent Closure (FPPC)</t>
  </si>
  <si>
    <t>Is FPPC on file and acceptable to regulatory agencies?</t>
  </si>
  <si>
    <t>If answer is yes, include copy of the FPPC.</t>
  </si>
  <si>
    <t>SRCE Rates (2022 Cost Data)</t>
  </si>
  <si>
    <t>LABOR COSTS (2024 Cost Data)</t>
  </si>
  <si>
    <t>2025 Cost</t>
  </si>
  <si>
    <t>(1)  Rain for Rent June 2025 for 24/7 operation</t>
  </si>
  <si>
    <t xml:space="preserve">(2)  Slimline Manufacturing July 2025 Quote.  </t>
  </si>
  <si>
    <t>(3)  Rain for Rent June 2025</t>
  </si>
  <si>
    <t>Group 3</t>
  </si>
  <si>
    <t>Group 1</t>
  </si>
  <si>
    <t>RS Means 2025 Q2 (01 31 1320 0260 Total Incl. O&amp;P-10%) adjusted for Elko, NV (898)</t>
  </si>
  <si>
    <t>RS Means 2025 Q2 (01 31 1320 0260 Total Incl. O&amp;P-10%) adjusted for Las Vegas, NV (898, 890,891)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</si>
</sst>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00"/>
    <numFmt numFmtId="165" formatCode="&quot;$&quot;#,##0"/>
    <numFmt numFmtId="166" formatCode="0.0"/>
    <numFmt numFmtId="167" formatCode="&quot;$&quot;#,##0.000"/>
    <numFmt numFmtId="168" formatCode="&quot;$&quot;#,##0.00000_);[Red]\(&quot;$&quot;#,##0.00000\)"/>
    <numFmt numFmtId="169" formatCode="#,##0.0"/>
    <numFmt numFmtId="170" formatCode="[$-409]mmmm\ d\,\ yyyy;@"/>
    <numFmt numFmtId="171" formatCode="&quot;$&quot;#,##0.000000"/>
    <numFmt numFmtId="172" formatCode="&quot;$&quot;#,##0.0000000"/>
    <numFmt numFmtId="173" formatCode="_(&quot;$&quot;* #,##0.0_);_(&quot;$&quot;* \(#,##0.0\);_(&quot;$&quot;* &quot;-&quot;??_);_(@_)"/>
    <numFmt numFmtId="174" formatCode="&quot;$&quot;#,##0.0"/>
  </numFmts>
  <fonts count="38">
    <font>
      <sz val="10"/>
      <name val="Arial"/>
    </font>
    <font>
      <sz val="10"/>
      <name val="Arial"/>
      <family val="2"/>
    </font>
    <font>
      <sz val="8"/>
      <name val="Arial"/>
      <family val="2"/>
    </font>
    <font>
      <b/>
      <sz val="10"/>
      <name val="Arial"/>
      <family val="2"/>
    </font>
    <font>
      <sz val="10"/>
      <name val="Arial"/>
      <family val="2"/>
    </font>
    <font>
      <sz val="10"/>
      <name val="Arial MT"/>
    </font>
    <font>
      <b/>
      <sz val="12"/>
      <name val="Arial"/>
      <family val="2"/>
    </font>
    <font>
      <b/>
      <sz val="16"/>
      <name val="Arial"/>
      <family val="2"/>
    </font>
    <font>
      <sz val="12"/>
      <name val="Arial"/>
      <family val="2"/>
    </font>
    <font>
      <sz val="14"/>
      <color indexed="10"/>
      <name val="Arial"/>
      <family val="2"/>
    </font>
    <font>
      <sz val="14"/>
      <color indexed="10"/>
      <name val="Arial"/>
      <family val="2"/>
    </font>
    <font>
      <sz val="12"/>
      <color indexed="10"/>
      <name val="Arial"/>
      <family val="2"/>
    </font>
    <font>
      <sz val="10"/>
      <color indexed="10"/>
      <name val="Arial"/>
      <family val="2"/>
    </font>
    <font>
      <sz val="10"/>
      <color indexed="10"/>
      <name val="Arial"/>
      <family val="2"/>
    </font>
    <font>
      <sz val="10"/>
      <name val="Arial"/>
      <family val="2"/>
    </font>
    <font>
      <b/>
      <sz val="14"/>
      <name val="Arial"/>
      <family val="2"/>
    </font>
    <font>
      <i/>
      <sz val="14"/>
      <name val="Arial"/>
      <family val="2"/>
    </font>
    <font>
      <sz val="16"/>
      <name val="Arial"/>
      <family val="2"/>
    </font>
    <font>
      <sz val="8"/>
      <name val="Arial"/>
      <family val="2"/>
    </font>
    <font>
      <sz val="6"/>
      <name val="Arial"/>
      <family val="2"/>
    </font>
    <font>
      <b/>
      <sz val="6"/>
      <name val="Arial"/>
      <family val="2"/>
    </font>
    <font>
      <b/>
      <i/>
      <u/>
      <sz val="12"/>
      <name val="Arial"/>
      <family val="2"/>
    </font>
    <font>
      <b/>
      <sz val="10"/>
      <color indexed="12"/>
      <name val="Arial"/>
      <family val="2"/>
    </font>
    <font>
      <b/>
      <sz val="14"/>
      <color indexed="8"/>
      <name val="Arial"/>
      <family val="2"/>
    </font>
    <font>
      <u/>
      <sz val="10"/>
      <name val="Arial"/>
      <family val="2"/>
    </font>
    <font>
      <i/>
      <u/>
      <sz val="12"/>
      <name val="Arial"/>
      <family val="2"/>
    </font>
    <font>
      <b/>
      <sz val="11"/>
      <name val="Arial"/>
      <family val="2"/>
    </font>
    <font>
      <sz val="10"/>
      <color indexed="10"/>
      <name val="Arial"/>
      <family val="2"/>
    </font>
    <font>
      <u/>
      <sz val="11"/>
      <name val="Arial"/>
      <family val="2"/>
    </font>
    <font>
      <i/>
      <u/>
      <sz val="16"/>
      <name val="Arial"/>
      <family val="2"/>
    </font>
    <font>
      <b/>
      <i/>
      <sz val="12"/>
      <name val="Arial"/>
      <family val="2"/>
    </font>
    <font>
      <sz val="9"/>
      <name val="Arial"/>
      <family val="2"/>
    </font>
    <font>
      <sz val="14"/>
      <name val="Arial"/>
      <family val="2"/>
    </font>
    <font>
      <b/>
      <sz val="14"/>
      <color rgb="FFFF0000"/>
      <name val="Arial"/>
      <family val="2"/>
    </font>
    <font>
      <b/>
      <sz val="10"/>
      <color rgb="FFFF0000"/>
      <name val="Arial"/>
      <family val="2"/>
    </font>
    <font>
      <b/>
      <sz val="13"/>
      <name val="Arial"/>
      <family val="2"/>
    </font>
    <font>
      <b/>
      <u/>
      <sz val="13"/>
      <name val="Arial"/>
      <family val="2"/>
    </font>
    <font>
      <u/>
      <sz val="13"/>
      <name val="Arial"/>
      <family val="2"/>
    </font>
  </fonts>
  <fills count="8">
    <fill>
      <patternFill patternType="none"/>
    </fill>
    <fill>
      <patternFill patternType="gray125"/>
    </fill>
    <fill>
      <patternFill patternType="gray0625">
        <fgColor indexed="9"/>
        <bgColor indexed="31"/>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5" fillId="2" borderId="0" applyNumberFormat="0" applyBorder="0">
      <protection hidden="1"/>
    </xf>
  </cellStyleXfs>
  <cellXfs count="302">
    <xf numFmtId="0" fontId="0" fillId="0" borderId="0" xfId="0"/>
    <xf numFmtId="0" fontId="3" fillId="0" borderId="0" xfId="0" applyFont="1"/>
    <xf numFmtId="0" fontId="0" fillId="0" borderId="0" xfId="0" applyAlignment="1">
      <alignment horizontal="center"/>
    </xf>
    <xf numFmtId="164" fontId="0" fillId="0" borderId="0" xfId="0" applyNumberFormat="1"/>
    <xf numFmtId="165" fontId="0" fillId="0" borderId="0" xfId="0" applyNumberFormat="1"/>
    <xf numFmtId="0" fontId="3" fillId="0" borderId="0" xfId="0" applyFont="1" applyAlignment="1">
      <alignment horizontal="center"/>
    </xf>
    <xf numFmtId="0" fontId="4" fillId="0" borderId="0" xfId="0" applyFont="1"/>
    <xf numFmtId="0" fontId="0" fillId="0" borderId="1" xfId="0" applyBorder="1" applyAlignment="1">
      <alignment horizontal="center"/>
    </xf>
    <xf numFmtId="0" fontId="0" fillId="0" borderId="0" xfId="0" applyAlignment="1">
      <alignment horizontal="right"/>
    </xf>
    <xf numFmtId="0" fontId="6" fillId="0" borderId="0" xfId="0" applyFont="1"/>
    <xf numFmtId="2" fontId="0" fillId="0" borderId="0" xfId="0" applyNumberFormat="1"/>
    <xf numFmtId="3" fontId="0" fillId="0" borderId="1" xfId="0" applyNumberFormat="1" applyBorder="1" applyAlignment="1">
      <alignment horizontal="center"/>
    </xf>
    <xf numFmtId="8" fontId="0" fillId="0" borderId="1" xfId="0" applyNumberFormat="1" applyBorder="1"/>
    <xf numFmtId="165" fontId="0" fillId="0" borderId="0" xfId="0" applyNumberFormat="1" applyAlignment="1">
      <alignment horizontal="right"/>
    </xf>
    <xf numFmtId="165" fontId="4" fillId="0" borderId="1" xfId="0" applyNumberFormat="1" applyFont="1" applyBorder="1" applyAlignment="1">
      <alignment horizontal="right"/>
    </xf>
    <xf numFmtId="0" fontId="3" fillId="0" borderId="0" xfId="0" applyFont="1" applyAlignment="1">
      <alignment horizontal="right"/>
    </xf>
    <xf numFmtId="165" fontId="3" fillId="0" borderId="0" xfId="0" applyNumberFormat="1" applyFont="1" applyAlignment="1">
      <alignment horizontal="right"/>
    </xf>
    <xf numFmtId="165" fontId="3" fillId="0" borderId="1" xfId="0" applyNumberFormat="1" applyFont="1" applyBorder="1" applyAlignment="1">
      <alignment horizontal="right"/>
    </xf>
    <xf numFmtId="165" fontId="6" fillId="0" borderId="2" xfId="0" applyNumberFormat="1" applyFont="1" applyBorder="1" applyAlignment="1">
      <alignment horizontal="right"/>
    </xf>
    <xf numFmtId="0" fontId="8" fillId="0" borderId="0" xfId="0" applyFont="1" applyAlignment="1">
      <alignment horizontal="center"/>
    </xf>
    <xf numFmtId="0" fontId="7" fillId="0" borderId="0" xfId="0" applyFont="1"/>
    <xf numFmtId="0" fontId="10" fillId="0" borderId="0" xfId="0" applyFont="1"/>
    <xf numFmtId="0" fontId="9" fillId="0" borderId="0" xfId="0" applyFont="1"/>
    <xf numFmtId="0" fontId="8" fillId="3" borderId="1" xfId="0" applyFont="1" applyFill="1" applyBorder="1" applyAlignment="1">
      <alignment horizontal="center"/>
    </xf>
    <xf numFmtId="3" fontId="0" fillId="0" borderId="0" xfId="0" applyNumberFormat="1" applyAlignment="1">
      <alignment horizontal="center"/>
    </xf>
    <xf numFmtId="168" fontId="0" fillId="0" borderId="0" xfId="0" applyNumberFormat="1" applyAlignment="1">
      <alignment horizontal="center"/>
    </xf>
    <xf numFmtId="0" fontId="0" fillId="0" borderId="0" xfId="0" applyAlignment="1">
      <alignment horizontal="left"/>
    </xf>
    <xf numFmtId="165" fontId="0" fillId="4" borderId="1" xfId="0" applyNumberFormat="1" applyFill="1" applyBorder="1" applyAlignment="1">
      <alignment horizontal="center"/>
    </xf>
    <xf numFmtId="8" fontId="0" fillId="4" borderId="1" xfId="0" applyNumberFormat="1" applyFill="1" applyBorder="1" applyAlignment="1">
      <alignment horizontal="center"/>
    </xf>
    <xf numFmtId="164" fontId="0" fillId="4" borderId="1" xfId="0" applyNumberFormat="1" applyFill="1" applyBorder="1" applyAlignment="1">
      <alignment horizontal="center"/>
    </xf>
    <xf numFmtId="167" fontId="0" fillId="4" borderId="1" xfId="0" applyNumberFormat="1" applyFill="1" applyBorder="1" applyAlignment="1">
      <alignment horizontal="center"/>
    </xf>
    <xf numFmtId="0" fontId="0" fillId="5" borderId="0" xfId="0" applyFill="1"/>
    <xf numFmtId="0" fontId="0" fillId="4" borderId="0" xfId="0" applyFill="1"/>
    <xf numFmtId="8" fontId="0" fillId="0" borderId="1" xfId="0" applyNumberFormat="1" applyBorder="1" applyAlignment="1">
      <alignment horizontal="center"/>
    </xf>
    <xf numFmtId="8" fontId="0" fillId="0" borderId="0" xfId="0" applyNumberFormat="1" applyAlignment="1">
      <alignment horizontal="center"/>
    </xf>
    <xf numFmtId="164" fontId="0" fillId="0" borderId="1" xfId="0" applyNumberFormat="1" applyBorder="1" applyAlignment="1">
      <alignment horizontal="center"/>
    </xf>
    <xf numFmtId="165" fontId="0" fillId="0" borderId="0" xfId="0" applyNumberFormat="1" applyAlignment="1">
      <alignment horizontal="center"/>
    </xf>
    <xf numFmtId="164" fontId="0" fillId="4" borderId="1" xfId="0" applyNumberFormat="1" applyFill="1" applyBorder="1" applyAlignment="1">
      <alignment horizontal="right"/>
    </xf>
    <xf numFmtId="8" fontId="0" fillId="4" borderId="1" xfId="0" applyNumberFormat="1" applyFill="1" applyBorder="1" applyAlignment="1">
      <alignment horizontal="right"/>
    </xf>
    <xf numFmtId="165" fontId="0" fillId="4" borderId="1" xfId="0" applyNumberFormat="1" applyFill="1" applyBorder="1" applyAlignment="1">
      <alignment horizontal="right"/>
    </xf>
    <xf numFmtId="1" fontId="0" fillId="5" borderId="1" xfId="0" applyNumberFormat="1" applyFill="1" applyBorder="1" applyAlignment="1" applyProtection="1">
      <alignment horizontal="center"/>
      <protection locked="0"/>
    </xf>
    <xf numFmtId="3" fontId="0" fillId="5" borderId="1" xfId="0" applyNumberFormat="1" applyFill="1" applyBorder="1" applyAlignment="1" applyProtection="1">
      <alignment horizontal="center"/>
      <protection locked="0"/>
    </xf>
    <xf numFmtId="165" fontId="0" fillId="5" borderId="1" xfId="0" applyNumberFormat="1" applyFill="1" applyBorder="1" applyProtection="1">
      <protection locked="0"/>
    </xf>
    <xf numFmtId="166" fontId="0" fillId="5" borderId="1" xfId="0" applyNumberFormat="1" applyFill="1" applyBorder="1" applyProtection="1">
      <protection locked="0"/>
    </xf>
    <xf numFmtId="0" fontId="11" fillId="0" borderId="0" xfId="0" applyFont="1"/>
    <xf numFmtId="0" fontId="12" fillId="0" borderId="0" xfId="0" applyFont="1"/>
    <xf numFmtId="0" fontId="1" fillId="0" borderId="0" xfId="0" applyFont="1"/>
    <xf numFmtId="0" fontId="13" fillId="0" borderId="0" xfId="0" applyFont="1"/>
    <xf numFmtId="0" fontId="14" fillId="0" borderId="0" xfId="0" applyFont="1"/>
    <xf numFmtId="0" fontId="0" fillId="5" borderId="1" xfId="0" applyFill="1" applyBorder="1" applyAlignment="1" applyProtection="1">
      <alignment horizontal="center"/>
      <protection locked="0"/>
    </xf>
    <xf numFmtId="3" fontId="0" fillId="0" borderId="0" xfId="0" applyNumberFormat="1" applyAlignment="1" applyProtection="1">
      <alignment horizontal="center"/>
      <protection locked="0"/>
    </xf>
    <xf numFmtId="42" fontId="0" fillId="4" borderId="1" xfId="0" applyNumberFormat="1" applyFill="1" applyBorder="1" applyProtection="1">
      <protection locked="0"/>
    </xf>
    <xf numFmtId="44" fontId="0" fillId="4" borderId="1" xfId="0" applyNumberFormat="1" applyFill="1" applyBorder="1" applyProtection="1">
      <protection locked="0"/>
    </xf>
    <xf numFmtId="165" fontId="0" fillId="0" borderId="1" xfId="0" applyNumberFormat="1" applyBorder="1" applyAlignment="1">
      <alignment horizontal="right"/>
    </xf>
    <xf numFmtId="0" fontId="0" fillId="4" borderId="1" xfId="0" applyFill="1" applyBorder="1" applyAlignment="1">
      <alignment horizontal="center"/>
    </xf>
    <xf numFmtId="42" fontId="0" fillId="4" borderId="1" xfId="0" applyNumberFormat="1" applyFill="1" applyBorder="1" applyAlignment="1">
      <alignment horizontal="center"/>
    </xf>
    <xf numFmtId="44" fontId="0" fillId="4" borderId="1" xfId="0" applyNumberFormat="1" applyFill="1" applyBorder="1" applyAlignment="1">
      <alignment horizontal="center"/>
    </xf>
    <xf numFmtId="164" fontId="0" fillId="4" borderId="3" xfId="0" applyNumberFormat="1" applyFill="1" applyBorder="1" applyAlignment="1">
      <alignment horizontal="center"/>
    </xf>
    <xf numFmtId="1" fontId="0" fillId="0" borderId="1" xfId="0" applyNumberFormat="1" applyBorder="1" applyAlignment="1">
      <alignment horizontal="center"/>
    </xf>
    <xf numFmtId="2" fontId="0" fillId="0" borderId="1" xfId="0" applyNumberFormat="1" applyBorder="1" applyAlignment="1">
      <alignment horizontal="center"/>
    </xf>
    <xf numFmtId="0" fontId="4" fillId="0" borderId="1" xfId="0" applyFont="1" applyBorder="1" applyAlignment="1">
      <alignment horizontal="center"/>
    </xf>
    <xf numFmtId="165" fontId="0" fillId="4" borderId="3" xfId="0" applyNumberFormat="1" applyFill="1" applyBorder="1" applyAlignment="1">
      <alignment horizontal="center"/>
    </xf>
    <xf numFmtId="165" fontId="4" fillId="0" borderId="2" xfId="0" applyNumberFormat="1" applyFont="1" applyBorder="1" applyAlignment="1">
      <alignment horizontal="right"/>
    </xf>
    <xf numFmtId="165" fontId="3" fillId="0" borderId="2" xfId="0" applyNumberFormat="1" applyFont="1" applyBorder="1" applyAlignment="1">
      <alignment horizontal="right"/>
    </xf>
    <xf numFmtId="0" fontId="3" fillId="0" borderId="4" xfId="0" applyFont="1" applyBorder="1" applyAlignment="1">
      <alignment horizontal="center"/>
    </xf>
    <xf numFmtId="0" fontId="3" fillId="0" borderId="5" xfId="0" applyFont="1" applyBorder="1" applyAlignment="1">
      <alignment horizontal="center"/>
    </xf>
    <xf numFmtId="0" fontId="17" fillId="0" borderId="0" xfId="0" applyFont="1"/>
    <xf numFmtId="165" fontId="6" fillId="0" borderId="0" xfId="0" applyNumberFormat="1" applyFont="1" applyAlignment="1">
      <alignment horizontal="right"/>
    </xf>
    <xf numFmtId="0" fontId="3" fillId="0" borderId="2" xfId="0" applyFont="1" applyBorder="1" applyAlignment="1">
      <alignment horizontal="center"/>
    </xf>
    <xf numFmtId="0" fontId="15" fillId="0" borderId="0" xfId="0" applyFont="1"/>
    <xf numFmtId="165" fontId="6" fillId="0" borderId="2" xfId="0" applyNumberFormat="1" applyFont="1" applyBorder="1"/>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3" fontId="0" fillId="5" borderId="3" xfId="0" applyNumberFormat="1" applyFill="1" applyBorder="1" applyAlignment="1" applyProtection="1">
      <alignment horizontal="center"/>
      <protection locked="0"/>
    </xf>
    <xf numFmtId="3" fontId="0" fillId="0" borderId="1" xfId="0" applyNumberFormat="1" applyBorder="1" applyAlignment="1" applyProtection="1">
      <alignment horizontal="center"/>
      <protection locked="0"/>
    </xf>
    <xf numFmtId="2" fontId="0" fillId="0" borderId="3" xfId="0" applyNumberFormat="1" applyBorder="1" applyAlignment="1">
      <alignment horizontal="center"/>
    </xf>
    <xf numFmtId="1" fontId="0" fillId="0" borderId="3" xfId="0" applyNumberFormat="1" applyBorder="1" applyAlignment="1">
      <alignment horizontal="center"/>
    </xf>
    <xf numFmtId="1" fontId="0" fillId="0" borderId="6" xfId="0" applyNumberFormat="1" applyBorder="1" applyAlignment="1">
      <alignment horizontal="center"/>
    </xf>
    <xf numFmtId="0" fontId="0" fillId="0" borderId="8" xfId="0" applyBorder="1" applyAlignment="1">
      <alignment horizontal="center"/>
    </xf>
    <xf numFmtId="2" fontId="0" fillId="0" borderId="0" xfId="0" applyNumberFormat="1" applyAlignment="1">
      <alignment horizontal="center"/>
    </xf>
    <xf numFmtId="1" fontId="0" fillId="0" borderId="9" xfId="0" applyNumberFormat="1" applyBorder="1" applyAlignment="1">
      <alignment horizontal="center"/>
    </xf>
    <xf numFmtId="3" fontId="0" fillId="0" borderId="3" xfId="0" applyNumberFormat="1" applyBorder="1" applyAlignment="1">
      <alignment horizontal="center"/>
    </xf>
    <xf numFmtId="8" fontId="0" fillId="4" borderId="3" xfId="0" applyNumberFormat="1" applyFill="1" applyBorder="1" applyAlignment="1">
      <alignment horizontal="center"/>
    </xf>
    <xf numFmtId="164" fontId="0" fillId="0" borderId="7" xfId="0" applyNumberFormat="1" applyBorder="1" applyAlignment="1">
      <alignment horizontal="center"/>
    </xf>
    <xf numFmtId="164" fontId="0" fillId="0" borderId="3" xfId="0" applyNumberFormat="1" applyBorder="1"/>
    <xf numFmtId="0" fontId="0" fillId="0" borderId="10" xfId="0" applyBorder="1" applyAlignment="1">
      <alignment horizontal="center"/>
    </xf>
    <xf numFmtId="167" fontId="0" fillId="4" borderId="3" xfId="0" applyNumberFormat="1" applyFill="1" applyBorder="1" applyAlignment="1">
      <alignment horizontal="center"/>
    </xf>
    <xf numFmtId="8" fontId="0" fillId="0" borderId="7" xfId="0" applyNumberFormat="1" applyBorder="1" applyAlignment="1">
      <alignment horizontal="center"/>
    </xf>
    <xf numFmtId="8" fontId="0" fillId="0" borderId="3" xfId="0" applyNumberFormat="1"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165" fontId="4" fillId="0" borderId="0" xfId="0" applyNumberFormat="1" applyFont="1" applyAlignment="1">
      <alignment horizontal="right"/>
    </xf>
    <xf numFmtId="0" fontId="19" fillId="0" borderId="1" xfId="0" applyFont="1" applyBorder="1" applyAlignment="1">
      <alignment horizontal="center"/>
    </xf>
    <xf numFmtId="2" fontId="0" fillId="0" borderId="1" xfId="0" applyNumberFormat="1" applyBorder="1"/>
    <xf numFmtId="1" fontId="0" fillId="0" borderId="1" xfId="0" applyNumberFormat="1" applyBorder="1"/>
    <xf numFmtId="0" fontId="20" fillId="0" borderId="7" xfId="0" applyFont="1" applyBorder="1" applyAlignment="1">
      <alignment horizontal="center"/>
    </xf>
    <xf numFmtId="0" fontId="18" fillId="0" borderId="1" xfId="0" applyFont="1" applyBorder="1" applyAlignment="1">
      <alignment horizontal="center"/>
    </xf>
    <xf numFmtId="0" fontId="21" fillId="0" borderId="0" xfId="0" applyFont="1"/>
    <xf numFmtId="1" fontId="0" fillId="5" borderId="1" xfId="0" applyNumberFormat="1" applyFill="1" applyBorder="1" applyProtection="1">
      <protection locked="0"/>
    </xf>
    <xf numFmtId="8" fontId="0" fillId="0" borderId="0" xfId="0" applyNumberFormat="1"/>
    <xf numFmtId="3" fontId="0" fillId="4" borderId="1" xfId="0" applyNumberFormat="1" applyFill="1" applyBorder="1" applyAlignment="1">
      <alignment horizontal="center"/>
    </xf>
    <xf numFmtId="49" fontId="0" fillId="0" borderId="0" xfId="0" applyNumberFormat="1" applyAlignment="1">
      <alignment horizontal="right"/>
    </xf>
    <xf numFmtId="168" fontId="0" fillId="4" borderId="1" xfId="0" applyNumberFormat="1" applyFill="1" applyBorder="1" applyAlignment="1">
      <alignment horizontal="right"/>
    </xf>
    <xf numFmtId="6" fontId="0" fillId="4" borderId="1" xfId="0" applyNumberFormat="1" applyFill="1" applyBorder="1" applyAlignment="1">
      <alignment horizontal="right"/>
    </xf>
    <xf numFmtId="171" fontId="0" fillId="0" borderId="0" xfId="0" applyNumberFormat="1"/>
    <xf numFmtId="172" fontId="0" fillId="0" borderId="0" xfId="0" applyNumberFormat="1"/>
    <xf numFmtId="3" fontId="0" fillId="0" borderId="0" xfId="0" applyNumberFormat="1"/>
    <xf numFmtId="9" fontId="0" fillId="5" borderId="1" xfId="0" applyNumberFormat="1" applyFill="1" applyBorder="1" applyProtection="1">
      <protection locked="0"/>
    </xf>
    <xf numFmtId="37" fontId="22" fillId="0" borderId="0" xfId="0" applyNumberFormat="1" applyFont="1"/>
    <xf numFmtId="0" fontId="4" fillId="0" borderId="0" xfId="0" applyFont="1" applyAlignment="1">
      <alignment horizontal="right"/>
    </xf>
    <xf numFmtId="15" fontId="4" fillId="0" borderId="0" xfId="0" applyNumberFormat="1" applyFont="1"/>
    <xf numFmtId="0" fontId="23"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5" fontId="4" fillId="0" borderId="0" xfId="0" applyNumberFormat="1" applyFont="1" applyAlignment="1">
      <alignment horizontal="right"/>
    </xf>
    <xf numFmtId="5" fontId="4" fillId="0" borderId="0" xfId="0" applyNumberFormat="1" applyFont="1"/>
    <xf numFmtId="7" fontId="4" fillId="0" borderId="0" xfId="0" applyNumberFormat="1" applyFont="1"/>
    <xf numFmtId="37" fontId="4" fillId="0" borderId="0" xfId="0" applyNumberFormat="1" applyFont="1" applyAlignment="1">
      <alignment horizontal="left"/>
    </xf>
    <xf numFmtId="37" fontId="3" fillId="0" borderId="0" xfId="0" applyNumberFormat="1" applyFont="1" applyAlignment="1">
      <alignment horizontal="left"/>
    </xf>
    <xf numFmtId="5" fontId="3" fillId="0" borderId="0" xfId="0" applyNumberFormat="1" applyFont="1" applyAlignment="1">
      <alignment horizontal="right"/>
    </xf>
    <xf numFmtId="0" fontId="3" fillId="0" borderId="0" xfId="0" applyFont="1" applyAlignment="1">
      <alignment vertical="center"/>
    </xf>
    <xf numFmtId="0" fontId="0" fillId="0" borderId="0" xfId="0" applyAlignment="1">
      <alignment vertical="center"/>
    </xf>
    <xf numFmtId="6" fontId="0" fillId="0" borderId="1" xfId="0" applyNumberFormat="1" applyBorder="1" applyAlignment="1">
      <alignment horizontal="center"/>
    </xf>
    <xf numFmtId="165" fontId="3" fillId="0" borderId="2" xfId="0" applyNumberFormat="1" applyFont="1" applyBorder="1" applyAlignment="1">
      <alignment horizontal="center"/>
    </xf>
    <xf numFmtId="6" fontId="0" fillId="4" borderId="1" xfId="0" applyNumberFormat="1" applyFill="1" applyBorder="1" applyAlignment="1">
      <alignment horizontal="center"/>
    </xf>
    <xf numFmtId="166" fontId="0" fillId="0" borderId="1" xfId="0" applyNumberFormat="1" applyBorder="1" applyAlignment="1">
      <alignment horizontal="center"/>
    </xf>
    <xf numFmtId="9" fontId="0" fillId="0" borderId="1" xfId="0" applyNumberFormat="1" applyBorder="1" applyAlignment="1">
      <alignment horizontal="center"/>
    </xf>
    <xf numFmtId="0" fontId="4" fillId="0" borderId="0" xfId="0" applyFont="1" applyAlignment="1" applyProtection="1">
      <alignment horizontal="center"/>
      <protection locked="0"/>
    </xf>
    <xf numFmtId="3" fontId="4" fillId="0" borderId="0" xfId="0" applyNumberFormat="1" applyFont="1" applyAlignment="1">
      <alignment horizontal="center"/>
    </xf>
    <xf numFmtId="42" fontId="0" fillId="0" borderId="0" xfId="0" applyNumberFormat="1" applyAlignment="1">
      <alignment horizontal="center"/>
    </xf>
    <xf numFmtId="44" fontId="0" fillId="0" borderId="0" xfId="0" applyNumberFormat="1" applyAlignment="1">
      <alignment horizontal="center"/>
    </xf>
    <xf numFmtId="0" fontId="0" fillId="0" borderId="0" xfId="0" applyAlignment="1" applyProtection="1">
      <alignment horizontal="center"/>
      <protection locked="0"/>
    </xf>
    <xf numFmtId="0" fontId="0" fillId="0" borderId="13" xfId="0" applyBorder="1"/>
    <xf numFmtId="42" fontId="0" fillId="0" borderId="0" xfId="0" applyNumberFormat="1" applyProtection="1">
      <protection locked="0"/>
    </xf>
    <xf numFmtId="44" fontId="0" fillId="0" borderId="0" xfId="0" applyNumberFormat="1" applyProtection="1">
      <protection locked="0"/>
    </xf>
    <xf numFmtId="5" fontId="0" fillId="0" borderId="0" xfId="1" applyNumberFormat="1" applyFont="1" applyBorder="1"/>
    <xf numFmtId="1" fontId="0" fillId="0" borderId="0" xfId="0" applyNumberFormat="1" applyProtection="1">
      <protection locked="0"/>
    </xf>
    <xf numFmtId="0" fontId="4" fillId="0" borderId="8" xfId="0" applyFont="1" applyBorder="1"/>
    <xf numFmtId="0" fontId="0" fillId="0" borderId="10" xfId="0" applyBorder="1"/>
    <xf numFmtId="0" fontId="0" fillId="0" borderId="6" xfId="0" applyBorder="1"/>
    <xf numFmtId="0" fontId="0" fillId="0" borderId="8" xfId="0" applyBorder="1"/>
    <xf numFmtId="3" fontId="4" fillId="0" borderId="1" xfId="0" applyNumberFormat="1" applyFont="1" applyBorder="1" applyAlignment="1">
      <alignment horizontal="center"/>
    </xf>
    <xf numFmtId="0" fontId="0" fillId="0" borderId="14" xfId="0" applyBorder="1"/>
    <xf numFmtId="0" fontId="0" fillId="0" borderId="11" xfId="0" applyBorder="1"/>
    <xf numFmtId="3" fontId="0" fillId="0" borderId="7" xfId="0" applyNumberFormat="1" applyBorder="1" applyAlignment="1" applyProtection="1">
      <alignment horizontal="center"/>
      <protection locked="0"/>
    </xf>
    <xf numFmtId="0" fontId="4" fillId="0" borderId="16" xfId="0" applyFont="1" applyBorder="1"/>
    <xf numFmtId="0" fontId="0" fillId="0" borderId="17" xfId="0" applyBorder="1"/>
    <xf numFmtId="0" fontId="0" fillId="0" borderId="9" xfId="0" applyBorder="1"/>
    <xf numFmtId="0" fontId="21" fillId="0" borderId="15" xfId="0" applyFont="1" applyBorder="1"/>
    <xf numFmtId="0" fontId="4" fillId="0" borderId="18" xfId="0" applyFont="1" applyBorder="1"/>
    <xf numFmtId="0" fontId="9" fillId="0" borderId="13" xfId="0" applyFont="1" applyBorder="1"/>
    <xf numFmtId="0" fontId="9" fillId="0" borderId="11" xfId="0" applyFont="1" applyBorder="1"/>
    <xf numFmtId="0" fontId="14" fillId="0" borderId="16" xfId="0" applyFont="1" applyBorder="1"/>
    <xf numFmtId="0" fontId="21" fillId="0" borderId="8" xfId="0" applyFont="1" applyBorder="1"/>
    <xf numFmtId="0" fontId="19" fillId="0" borderId="0" xfId="0" applyFont="1" applyAlignment="1">
      <alignment horizontal="center"/>
    </xf>
    <xf numFmtId="1" fontId="0" fillId="0" borderId="0" xfId="0" applyNumberFormat="1"/>
    <xf numFmtId="0" fontId="20" fillId="0" borderId="0" xfId="0" applyFont="1" applyAlignment="1">
      <alignment horizontal="center"/>
    </xf>
    <xf numFmtId="1" fontId="0" fillId="5" borderId="3" xfId="0" applyNumberFormat="1" applyFill="1" applyBorder="1" applyAlignment="1" applyProtection="1">
      <alignment horizontal="center"/>
      <protection locked="0"/>
    </xf>
    <xf numFmtId="2" fontId="0" fillId="0" borderId="10" xfId="0" applyNumberFormat="1" applyBorder="1" applyAlignment="1">
      <alignment horizontal="center"/>
    </xf>
    <xf numFmtId="0" fontId="0" fillId="0" borderId="16" xfId="0" applyBorder="1"/>
    <xf numFmtId="1" fontId="0" fillId="0" borderId="10" xfId="0" applyNumberFormat="1" applyBorder="1" applyAlignment="1">
      <alignment horizontal="center"/>
    </xf>
    <xf numFmtId="1" fontId="0" fillId="0" borderId="17" xfId="0" applyNumberFormat="1" applyBorder="1" applyAlignment="1">
      <alignment horizontal="center"/>
    </xf>
    <xf numFmtId="0" fontId="0" fillId="0" borderId="14" xfId="0" applyBorder="1" applyAlignment="1">
      <alignment horizontal="center"/>
    </xf>
    <xf numFmtId="0" fontId="3" fillId="0" borderId="10" xfId="0" applyFont="1" applyBorder="1"/>
    <xf numFmtId="0" fontId="4" fillId="0" borderId="7" xfId="0" applyFont="1" applyBorder="1" applyAlignment="1">
      <alignment horizontal="center"/>
    </xf>
    <xf numFmtId="0" fontId="3" fillId="0" borderId="6" xfId="0" applyFont="1" applyBorder="1"/>
    <xf numFmtId="0" fontId="0" fillId="0" borderId="7" xfId="0" applyBorder="1"/>
    <xf numFmtId="0" fontId="3" fillId="0" borderId="8" xfId="0" applyFont="1" applyBorder="1"/>
    <xf numFmtId="0" fontId="0" fillId="0" borderId="6" xfId="0" applyBorder="1" applyAlignment="1">
      <alignment horizontal="right"/>
    </xf>
    <xf numFmtId="165" fontId="0" fillId="0" borderId="6" xfId="0" applyNumberFormat="1" applyBorder="1" applyAlignment="1">
      <alignment horizontal="center"/>
    </xf>
    <xf numFmtId="165" fontId="6" fillId="0" borderId="0" xfId="0" applyNumberFormat="1" applyFont="1"/>
    <xf numFmtId="0" fontId="15" fillId="0" borderId="0" xfId="0" applyFont="1" applyAlignment="1">
      <alignment horizontal="center"/>
    </xf>
    <xf numFmtId="0" fontId="4" fillId="0" borderId="0" xfId="0" applyFont="1" applyProtection="1">
      <protection locked="0"/>
    </xf>
    <xf numFmtId="170" fontId="4" fillId="0" borderId="0" xfId="0" applyNumberFormat="1" applyFont="1" applyProtection="1">
      <protection locked="0"/>
    </xf>
    <xf numFmtId="0" fontId="8" fillId="3" borderId="2" xfId="0" applyFont="1" applyFill="1" applyBorder="1" applyAlignment="1">
      <alignment horizontal="center"/>
    </xf>
    <xf numFmtId="164" fontId="0" fillId="0" borderId="0" xfId="0" applyNumberFormat="1" applyAlignment="1">
      <alignment horizontal="center"/>
    </xf>
    <xf numFmtId="42" fontId="6" fillId="0" borderId="0" xfId="0" applyNumberFormat="1" applyFont="1"/>
    <xf numFmtId="42" fontId="0" fillId="0" borderId="0" xfId="0" applyNumberFormat="1"/>
    <xf numFmtId="0" fontId="8" fillId="0" borderId="15" xfId="0" applyFont="1" applyBorder="1"/>
    <xf numFmtId="0" fontId="8" fillId="0" borderId="8" xfId="0" applyFont="1" applyBorder="1"/>
    <xf numFmtId="0" fontId="10" fillId="0" borderId="10" xfId="0" applyFont="1" applyBorder="1"/>
    <xf numFmtId="0" fontId="12" fillId="0" borderId="10" xfId="0" applyFont="1" applyBorder="1"/>
    <xf numFmtId="0" fontId="11" fillId="0" borderId="13" xfId="0" applyFont="1" applyBorder="1"/>
    <xf numFmtId="165" fontId="8" fillId="0" borderId="1" xfId="0" applyNumberFormat="1" applyFont="1" applyBorder="1"/>
    <xf numFmtId="0" fontId="24" fillId="0" borderId="0" xfId="0" applyFont="1"/>
    <xf numFmtId="0" fontId="25" fillId="0" borderId="0" xfId="0" applyFont="1"/>
    <xf numFmtId="0" fontId="26" fillId="0" borderId="0" xfId="0" applyFont="1"/>
    <xf numFmtId="0" fontId="27" fillId="0" borderId="0" xfId="0" applyFont="1"/>
    <xf numFmtId="0" fontId="4" fillId="0" borderId="0" xfId="0" applyFont="1" applyAlignment="1">
      <alignment horizontal="center"/>
    </xf>
    <xf numFmtId="1" fontId="0" fillId="0" borderId="0" xfId="0" applyNumberFormat="1" applyAlignment="1">
      <alignment horizontal="center"/>
    </xf>
    <xf numFmtId="0" fontId="0" fillId="0" borderId="1" xfId="0" applyBorder="1"/>
    <xf numFmtId="3" fontId="0" fillId="6" borderId="0" xfId="0" applyNumberFormat="1" applyFill="1" applyAlignment="1">
      <alignment horizontal="center"/>
    </xf>
    <xf numFmtId="169" fontId="0" fillId="6" borderId="0" xfId="0" applyNumberFormat="1" applyFill="1"/>
    <xf numFmtId="8" fontId="0" fillId="6" borderId="0" xfId="0" applyNumberFormat="1" applyFill="1" applyAlignment="1">
      <alignment horizontal="center"/>
    </xf>
    <xf numFmtId="0" fontId="4" fillId="6" borderId="0" xfId="0" applyFont="1" applyFill="1" applyAlignment="1">
      <alignment horizontal="center"/>
    </xf>
    <xf numFmtId="0" fontId="0" fillId="6" borderId="0" xfId="0" applyFill="1" applyAlignment="1">
      <alignment horizontal="center"/>
    </xf>
    <xf numFmtId="0" fontId="0" fillId="6" borderId="0" xfId="0" applyFill="1"/>
    <xf numFmtId="165" fontId="3" fillId="6" borderId="0" xfId="0" applyNumberFormat="1" applyFont="1" applyFill="1" applyAlignment="1">
      <alignment horizontal="right"/>
    </xf>
    <xf numFmtId="169" fontId="0" fillId="6" borderId="1" xfId="0" applyNumberFormat="1" applyFill="1" applyBorder="1" applyAlignment="1">
      <alignment horizontal="center"/>
    </xf>
    <xf numFmtId="3" fontId="0" fillId="6" borderId="0" xfId="0" applyNumberFormat="1" applyFill="1"/>
    <xf numFmtId="165" fontId="0" fillId="4" borderId="3" xfId="0" applyNumberFormat="1" applyFill="1" applyBorder="1" applyAlignment="1">
      <alignment horizontal="right"/>
    </xf>
    <xf numFmtId="8" fontId="0" fillId="6" borderId="0" xfId="0" applyNumberFormat="1" applyFill="1"/>
    <xf numFmtId="165" fontId="3" fillId="0" borderId="0" xfId="0" applyNumberFormat="1" applyFont="1"/>
    <xf numFmtId="0" fontId="4" fillId="5" borderId="1" xfId="0" applyFont="1" applyFill="1" applyBorder="1" applyAlignment="1" applyProtection="1">
      <alignment horizontal="center"/>
      <protection locked="0"/>
    </xf>
    <xf numFmtId="9" fontId="0" fillId="0" borderId="1" xfId="0" applyNumberFormat="1" applyBorder="1"/>
    <xf numFmtId="9" fontId="0" fillId="0" borderId="0" xfId="0" applyNumberFormat="1"/>
    <xf numFmtId="3" fontId="0" fillId="0" borderId="0" xfId="0" applyNumberFormat="1" applyAlignment="1">
      <alignment horizontal="right"/>
    </xf>
    <xf numFmtId="164" fontId="0" fillId="0" borderId="0" xfId="0" applyNumberFormat="1" applyAlignment="1">
      <alignment horizontal="right"/>
    </xf>
    <xf numFmtId="0" fontId="18" fillId="0" borderId="0" xfId="0" applyFont="1" applyAlignment="1">
      <alignment horizontal="center"/>
    </xf>
    <xf numFmtId="4" fontId="0" fillId="0" borderId="1" xfId="0" applyNumberFormat="1" applyBorder="1" applyAlignment="1">
      <alignment horizontal="center"/>
    </xf>
    <xf numFmtId="6" fontId="0" fillId="0" borderId="0" xfId="0" applyNumberFormat="1" applyAlignment="1">
      <alignment horizontal="right"/>
    </xf>
    <xf numFmtId="166" fontId="0" fillId="0" borderId="1" xfId="0" applyNumberFormat="1" applyBorder="1"/>
    <xf numFmtId="0" fontId="28" fillId="0" borderId="0" xfId="0" applyFont="1"/>
    <xf numFmtId="6" fontId="0" fillId="0" borderId="0" xfId="0" applyNumberFormat="1" applyAlignment="1">
      <alignment horizontal="center"/>
    </xf>
    <xf numFmtId="6" fontId="0" fillId="0" borderId="2" xfId="0" applyNumberFormat="1" applyBorder="1" applyAlignment="1">
      <alignment horizontal="center"/>
    </xf>
    <xf numFmtId="3" fontId="3" fillId="0" borderId="2" xfId="0" applyNumberFormat="1" applyFont="1" applyBorder="1" applyAlignment="1">
      <alignment horizontal="center"/>
    </xf>
    <xf numFmtId="0" fontId="29" fillId="0" borderId="0" xfId="0" applyFont="1"/>
    <xf numFmtId="0" fontId="30" fillId="0" borderId="0" xfId="0" applyFont="1"/>
    <xf numFmtId="0" fontId="30" fillId="0" borderId="0" xfId="0" applyFont="1" applyAlignment="1">
      <alignment horizontal="left"/>
    </xf>
    <xf numFmtId="0" fontId="6" fillId="0" borderId="0" xfId="0" applyFont="1" applyAlignment="1">
      <alignment horizontal="center"/>
    </xf>
    <xf numFmtId="0" fontId="8" fillId="0" borderId="7" xfId="0" applyFont="1" applyBorder="1" applyAlignment="1">
      <alignment horizontal="center"/>
    </xf>
    <xf numFmtId="165" fontId="6" fillId="0" borderId="2" xfId="0" applyNumberFormat="1" applyFont="1" applyBorder="1" applyAlignment="1">
      <alignment horizontal="center"/>
    </xf>
    <xf numFmtId="0" fontId="1" fillId="0" borderId="16" xfId="0" applyFont="1" applyBorder="1"/>
    <xf numFmtId="0" fontId="1" fillId="0" borderId="8" xfId="0" applyFont="1" applyBorder="1"/>
    <xf numFmtId="0" fontId="1" fillId="0" borderId="15" xfId="0" applyFont="1" applyBorder="1"/>
    <xf numFmtId="9" fontId="0" fillId="0" borderId="1" xfId="0" applyNumberFormat="1" applyBorder="1" applyProtection="1">
      <protection locked="0"/>
    </xf>
    <xf numFmtId="3" fontId="1" fillId="0" borderId="1" xfId="0" applyNumberFormat="1" applyFont="1" applyBorder="1" applyAlignment="1">
      <alignment horizontal="center"/>
    </xf>
    <xf numFmtId="0" fontId="1" fillId="4" borderId="3" xfId="0" applyFont="1" applyFill="1" applyBorder="1" applyAlignment="1">
      <alignment horizontal="center"/>
    </xf>
    <xf numFmtId="0" fontId="0" fillId="4" borderId="3" xfId="0" applyFill="1" applyBorder="1" applyAlignment="1">
      <alignment horizontal="center"/>
    </xf>
    <xf numFmtId="42" fontId="0" fillId="4" borderId="1" xfId="0" applyNumberFormat="1" applyFill="1" applyBorder="1"/>
    <xf numFmtId="164" fontId="0" fillId="0" borderId="1" xfId="0" applyNumberFormat="1" applyBorder="1"/>
    <xf numFmtId="164" fontId="0" fillId="0" borderId="1" xfId="0" applyNumberFormat="1" applyBorder="1" applyAlignment="1">
      <alignment horizontal="right"/>
    </xf>
    <xf numFmtId="0" fontId="31" fillId="0" borderId="1" xfId="0" applyFont="1" applyBorder="1"/>
    <xf numFmtId="0" fontId="31" fillId="0" borderId="8" xfId="0" applyFont="1" applyBorder="1"/>
    <xf numFmtId="0" fontId="31" fillId="0" borderId="6" xfId="0" applyFont="1" applyBorder="1"/>
    <xf numFmtId="173" fontId="31" fillId="0" borderId="8" xfId="1" applyNumberFormat="1" applyFont="1" applyFill="1" applyBorder="1" applyAlignment="1"/>
    <xf numFmtId="49" fontId="31" fillId="0" borderId="10" xfId="0" applyNumberFormat="1" applyFont="1" applyBorder="1"/>
    <xf numFmtId="14" fontId="31" fillId="0" borderId="10" xfId="0" applyNumberFormat="1" applyFont="1" applyBorder="1" applyAlignment="1">
      <alignment horizontal="center"/>
    </xf>
    <xf numFmtId="0" fontId="32" fillId="0" borderId="0" xfId="0" applyFont="1"/>
    <xf numFmtId="0" fontId="33" fillId="0" borderId="0" xfId="0" applyFont="1"/>
    <xf numFmtId="0" fontId="34" fillId="0" borderId="0" xfId="0" applyFont="1"/>
    <xf numFmtId="0" fontId="36" fillId="0" borderId="0" xfId="0" applyFont="1"/>
    <xf numFmtId="0" fontId="37" fillId="0" borderId="0" xfId="0" applyFont="1"/>
    <xf numFmtId="0" fontId="8" fillId="0" borderId="0" xfId="0" applyFont="1"/>
    <xf numFmtId="0" fontId="35" fillId="0" borderId="0" xfId="0" applyFont="1"/>
    <xf numFmtId="165" fontId="1" fillId="0" borderId="2" xfId="0" applyNumberFormat="1" applyFont="1" applyBorder="1" applyAlignment="1">
      <alignment horizontal="center"/>
    </xf>
    <xf numFmtId="165" fontId="1" fillId="0" borderId="19" xfId="0" applyNumberFormat="1" applyFont="1" applyBorder="1" applyAlignment="1">
      <alignment horizontal="center"/>
    </xf>
    <xf numFmtId="165" fontId="1" fillId="0" borderId="0" xfId="0" applyNumberFormat="1" applyFont="1" applyAlignment="1">
      <alignment horizontal="center"/>
    </xf>
    <xf numFmtId="165" fontId="3" fillId="0" borderId="0" xfId="0" applyNumberFormat="1" applyFont="1" applyAlignment="1">
      <alignment horizontal="center"/>
    </xf>
    <xf numFmtId="165" fontId="0" fillId="0" borderId="1" xfId="0" applyNumberFormat="1" applyBorder="1" applyAlignment="1">
      <alignment horizontal="center"/>
    </xf>
    <xf numFmtId="165" fontId="15" fillId="0" borderId="2" xfId="0" applyNumberFormat="1" applyFont="1" applyBorder="1" applyAlignment="1">
      <alignment horizontal="center"/>
    </xf>
    <xf numFmtId="165" fontId="15" fillId="0" borderId="0" xfId="0" applyNumberFormat="1" applyFont="1" applyAlignment="1">
      <alignment horizontal="center"/>
    </xf>
    <xf numFmtId="10" fontId="0" fillId="7" borderId="1" xfId="0" applyNumberFormat="1" applyFill="1" applyBorder="1"/>
    <xf numFmtId="174" fontId="0" fillId="0" borderId="0" xfId="0" applyNumberFormat="1"/>
    <xf numFmtId="170" fontId="8" fillId="0" borderId="10" xfId="0" applyNumberFormat="1" applyFont="1" applyBorder="1" applyAlignment="1">
      <alignment horizontal="left"/>
    </xf>
    <xf numFmtId="170" fontId="8" fillId="0" borderId="6" xfId="0" applyNumberFormat="1" applyFont="1" applyBorder="1" applyAlignment="1">
      <alignment horizontal="left"/>
    </xf>
    <xf numFmtId="0" fontId="8" fillId="0" borderId="10" xfId="0" applyFont="1" applyBorder="1" applyAlignment="1">
      <alignment horizontal="left"/>
    </xf>
    <xf numFmtId="0" fontId="8" fillId="0" borderId="6" xfId="0" applyFont="1" applyBorder="1" applyAlignment="1">
      <alignment horizontal="left"/>
    </xf>
    <xf numFmtId="0" fontId="16" fillId="0" borderId="0" xfId="0" applyFont="1" applyAlignment="1">
      <alignment horizontal="center"/>
    </xf>
    <xf numFmtId="0" fontId="15" fillId="0" borderId="0" xfId="0" applyFont="1" applyAlignment="1">
      <alignment horizontal="center"/>
    </xf>
    <xf numFmtId="0" fontId="6" fillId="0" borderId="0" xfId="0" applyFont="1" applyAlignment="1">
      <alignment horizontal="center"/>
    </xf>
    <xf numFmtId="0" fontId="30" fillId="0" borderId="0" xfId="0" applyFont="1" applyAlignment="1">
      <alignment horizontal="center"/>
    </xf>
    <xf numFmtId="165" fontId="4" fillId="5" borderId="1" xfId="0" applyNumberFormat="1" applyFont="1" applyFill="1" applyBorder="1" applyAlignment="1" applyProtection="1">
      <alignment horizontal="center"/>
      <protection locked="0"/>
    </xf>
    <xf numFmtId="1" fontId="0" fillId="0" borderId="1" xfId="0" applyNumberFormat="1" applyBorder="1" applyAlignment="1">
      <alignment horizontal="center"/>
    </xf>
    <xf numFmtId="0" fontId="0" fillId="5" borderId="8"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1" fillId="5" borderId="8" xfId="0" applyFont="1" applyFill="1" applyBorder="1" applyAlignment="1" applyProtection="1">
      <alignment horizontal="left"/>
      <protection locked="0"/>
    </xf>
    <xf numFmtId="0" fontId="4" fillId="5" borderId="6" xfId="0" applyFont="1" applyFill="1" applyBorder="1" applyAlignment="1" applyProtection="1">
      <alignment horizontal="left"/>
      <protection locked="0"/>
    </xf>
    <xf numFmtId="0" fontId="1" fillId="5" borderId="15" xfId="0" applyFont="1" applyFill="1" applyBorder="1" applyAlignment="1" applyProtection="1">
      <alignment horizontal="left"/>
      <protection locked="0"/>
    </xf>
    <xf numFmtId="0" fontId="4" fillId="5" borderId="11" xfId="0" applyFont="1" applyFill="1" applyBorder="1" applyAlignment="1" applyProtection="1">
      <alignment horizontal="left"/>
      <protection locked="0"/>
    </xf>
    <xf numFmtId="170" fontId="1" fillId="5" borderId="16" xfId="0" applyNumberFormat="1" applyFont="1" applyFill="1" applyBorder="1" applyAlignment="1" applyProtection="1">
      <alignment horizontal="left"/>
      <protection locked="0"/>
    </xf>
    <xf numFmtId="170" fontId="4" fillId="5" borderId="9" xfId="0" applyNumberFormat="1" applyFont="1" applyFill="1" applyBorder="1" applyAlignment="1" applyProtection="1">
      <alignment horizontal="left"/>
      <protection locked="0"/>
    </xf>
    <xf numFmtId="0" fontId="1" fillId="0" borderId="0" xfId="0" applyFont="1" applyAlignment="1">
      <alignment wrapText="1" readingOrder="1"/>
    </xf>
    <xf numFmtId="0" fontId="0" fillId="0" borderId="0" xfId="0"/>
    <xf numFmtId="0" fontId="0" fillId="0" borderId="10"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6" fillId="0" borderId="20" xfId="0" applyFont="1" applyBorder="1" applyAlignment="1">
      <alignment horizontal="left"/>
    </xf>
    <xf numFmtId="0" fontId="6" fillId="0" borderId="21" xfId="0" applyFont="1" applyBorder="1" applyAlignment="1">
      <alignment horizontal="left"/>
    </xf>
    <xf numFmtId="0" fontId="6" fillId="0" borderId="19" xfId="0" applyFont="1" applyBorder="1" applyAlignment="1">
      <alignment horizontal="left"/>
    </xf>
    <xf numFmtId="0" fontId="7" fillId="0" borderId="8" xfId="0" applyFont="1" applyBorder="1" applyAlignment="1">
      <alignment horizontal="left"/>
    </xf>
    <xf numFmtId="0" fontId="7" fillId="0" borderId="10" xfId="0" applyFont="1" applyBorder="1" applyAlignment="1">
      <alignment horizontal="left"/>
    </xf>
    <xf numFmtId="0" fontId="7" fillId="0" borderId="6" xfId="0" applyFont="1" applyBorder="1" applyAlignment="1">
      <alignment horizontal="left"/>
    </xf>
    <xf numFmtId="3" fontId="7" fillId="0" borderId="8" xfId="0" applyNumberFormat="1" applyFont="1" applyBorder="1" applyAlignment="1">
      <alignment horizontal="left"/>
    </xf>
    <xf numFmtId="3" fontId="7" fillId="0" borderId="10" xfId="0" applyNumberFormat="1" applyFont="1" applyBorder="1" applyAlignment="1">
      <alignment horizontal="left"/>
    </xf>
    <xf numFmtId="3" fontId="7" fillId="0" borderId="6" xfId="0" applyNumberFormat="1" applyFont="1" applyBorder="1" applyAlignment="1">
      <alignment horizontal="left"/>
    </xf>
    <xf numFmtId="3" fontId="1" fillId="0" borderId="8" xfId="0" applyNumberFormat="1" applyFont="1" applyBorder="1" applyAlignment="1">
      <alignment horizontal="center"/>
    </xf>
    <xf numFmtId="3" fontId="0" fillId="0" borderId="10" xfId="0" applyNumberFormat="1" applyBorder="1" applyAlignment="1">
      <alignment horizontal="center"/>
    </xf>
    <xf numFmtId="3" fontId="0" fillId="0" borderId="6" xfId="0" applyNumberFormat="1" applyBorder="1" applyAlignment="1">
      <alignment horizontal="center"/>
    </xf>
    <xf numFmtId="0" fontId="1" fillId="0" borderId="12" xfId="0" applyFont="1" applyBorder="1" applyAlignment="1">
      <alignment horizontal="center" wrapText="1"/>
    </xf>
    <xf numFmtId="0" fontId="1" fillId="0" borderId="3" xfId="0" applyFont="1" applyBorder="1" applyAlignment="1">
      <alignment horizontal="center" wrapText="1"/>
    </xf>
    <xf numFmtId="0" fontId="1" fillId="0" borderId="1" xfId="0" applyFont="1" applyBorder="1" applyAlignment="1">
      <alignment horizontal="left"/>
    </xf>
    <xf numFmtId="0" fontId="1" fillId="0" borderId="8" xfId="0" applyFont="1" applyBorder="1" applyAlignment="1">
      <alignment horizontal="left"/>
    </xf>
    <xf numFmtId="0" fontId="31" fillId="0" borderId="1" xfId="0" applyFont="1" applyBorder="1" applyAlignment="1">
      <alignment horizontal="left"/>
    </xf>
    <xf numFmtId="0" fontId="31" fillId="0" borderId="8" xfId="0" applyFont="1" applyBorder="1" applyAlignment="1">
      <alignment horizontal="center"/>
    </xf>
    <xf numFmtId="0" fontId="31" fillId="0" borderId="10" xfId="0" applyFont="1" applyBorder="1" applyAlignment="1">
      <alignment horizontal="center"/>
    </xf>
    <xf numFmtId="0" fontId="0" fillId="0" borderId="1" xfId="0" applyBorder="1" applyAlignment="1">
      <alignment horizontal="center"/>
    </xf>
    <xf numFmtId="0" fontId="31" fillId="0" borderId="6" xfId="0" applyFont="1" applyBorder="1" applyAlignment="1">
      <alignment horizontal="center"/>
    </xf>
    <xf numFmtId="0" fontId="3" fillId="0" borderId="0" xfId="0" applyFont="1" applyAlignment="1">
      <alignment horizontal="left"/>
    </xf>
    <xf numFmtId="0" fontId="31" fillId="0" borderId="8" xfId="0" applyFont="1" applyBorder="1" applyAlignment="1">
      <alignment horizontal="left"/>
    </xf>
  </cellXfs>
  <cellStyles count="3">
    <cellStyle name="Currency" xfId="1" builtinId="4"/>
    <cellStyle name="Normal" xfId="0" builtinId="0"/>
    <cellStyle name="StandardizedData"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O45"/>
  <sheetViews>
    <sheetView showZeros="0" tabSelected="1" view="pageBreakPreview" zoomScale="90" zoomScaleNormal="100" zoomScaleSheetLayoutView="90" workbookViewId="0">
      <selection activeCell="G14" sqref="G14"/>
    </sheetView>
  </sheetViews>
  <sheetFormatPr defaultRowHeight="12.75"/>
  <cols>
    <col min="2" max="2" width="10.42578125" customWidth="1"/>
    <col min="3" max="3" width="17.7109375" bestFit="1" customWidth="1"/>
    <col min="4" max="4" width="14.5703125" customWidth="1"/>
    <col min="5" max="7" width="24" customWidth="1"/>
    <col min="8" max="8" width="5.140625" customWidth="1"/>
    <col min="9" max="9" width="26.28515625" customWidth="1"/>
  </cols>
  <sheetData>
    <row r="1" spans="1:15" ht="18.75">
      <c r="A1" s="260"/>
      <c r="B1" s="260"/>
      <c r="C1" s="260"/>
      <c r="D1" s="260"/>
      <c r="E1" s="260"/>
      <c r="F1" s="260"/>
      <c r="G1" s="260"/>
      <c r="H1" s="260"/>
      <c r="I1" s="260"/>
    </row>
    <row r="3" spans="1:15" ht="20.25">
      <c r="A3" s="261" t="s">
        <v>64</v>
      </c>
      <c r="B3" s="261"/>
      <c r="C3" s="261"/>
      <c r="D3" s="261"/>
      <c r="E3" s="261"/>
      <c r="F3" s="261"/>
      <c r="G3" s="261"/>
      <c r="H3" s="261"/>
      <c r="I3" s="261"/>
      <c r="J3" s="20"/>
      <c r="K3" s="20"/>
      <c r="L3" s="20"/>
      <c r="M3" s="20"/>
      <c r="N3" s="20"/>
      <c r="O3" s="20"/>
    </row>
    <row r="4" spans="1:15" ht="20.25">
      <c r="A4" s="261" t="s">
        <v>325</v>
      </c>
      <c r="B4" s="261"/>
      <c r="C4" s="261"/>
      <c r="D4" s="261"/>
      <c r="E4" s="261"/>
      <c r="F4" s="261"/>
      <c r="G4" s="261"/>
      <c r="H4" s="261"/>
      <c r="I4" s="261"/>
      <c r="J4" s="20"/>
      <c r="K4" s="20"/>
      <c r="L4" s="20"/>
      <c r="M4" s="20"/>
      <c r="N4" s="20"/>
      <c r="O4" s="20"/>
    </row>
    <row r="5" spans="1:15" ht="20.25">
      <c r="A5" s="262" t="s">
        <v>382</v>
      </c>
      <c r="B5" s="262"/>
      <c r="C5" s="262"/>
      <c r="D5" s="262"/>
      <c r="E5" s="262"/>
      <c r="F5" s="262"/>
      <c r="G5" s="262"/>
      <c r="H5" s="262"/>
      <c r="I5" s="262"/>
      <c r="J5" s="20"/>
      <c r="K5" s="20"/>
      <c r="L5" s="20"/>
      <c r="M5" s="20"/>
      <c r="N5" s="20"/>
      <c r="O5" s="20"/>
    </row>
    <row r="6" spans="1:15" ht="20.25">
      <c r="A6" s="261" t="s">
        <v>66</v>
      </c>
      <c r="B6" s="261"/>
      <c r="C6" s="261"/>
      <c r="D6" s="261"/>
      <c r="E6" s="261"/>
      <c r="F6" s="261"/>
      <c r="G6" s="261"/>
      <c r="H6" s="261"/>
      <c r="I6" s="261"/>
      <c r="J6" s="20"/>
      <c r="K6" s="66"/>
      <c r="L6" s="20"/>
      <c r="M6" s="20"/>
      <c r="N6" s="20"/>
      <c r="O6" s="20"/>
    </row>
    <row r="7" spans="1:15" ht="20.25">
      <c r="A7" s="261" t="s">
        <v>65</v>
      </c>
      <c r="B7" s="261"/>
      <c r="C7" s="261"/>
      <c r="D7" s="261"/>
      <c r="E7" s="261"/>
      <c r="F7" s="261"/>
      <c r="G7" s="261"/>
      <c r="H7" s="261"/>
      <c r="I7" s="261"/>
      <c r="J7" s="20"/>
      <c r="K7" s="20"/>
      <c r="L7" s="20"/>
      <c r="M7" s="20"/>
      <c r="N7" s="20"/>
      <c r="O7" s="20"/>
    </row>
    <row r="8" spans="1:15" ht="20.25">
      <c r="A8" s="261" t="s">
        <v>67</v>
      </c>
      <c r="B8" s="261"/>
      <c r="C8" s="261"/>
      <c r="D8" s="261"/>
      <c r="E8" s="261"/>
      <c r="F8" s="261"/>
      <c r="G8" s="261"/>
      <c r="H8" s="261"/>
      <c r="I8" s="261"/>
      <c r="J8" s="20"/>
      <c r="K8" s="20"/>
      <c r="L8" s="20"/>
      <c r="M8" s="20"/>
      <c r="N8" s="20"/>
      <c r="O8" s="20"/>
    </row>
    <row r="9" spans="1:15" ht="20.25">
      <c r="A9" s="173"/>
      <c r="B9" s="173"/>
      <c r="C9" s="173"/>
      <c r="D9" s="173"/>
      <c r="E9" s="173"/>
      <c r="F9" s="173"/>
      <c r="G9" s="173"/>
      <c r="H9" s="173"/>
      <c r="I9" s="173"/>
      <c r="J9" s="20"/>
      <c r="K9" s="20"/>
      <c r="L9" s="20"/>
      <c r="M9" s="20"/>
      <c r="N9" s="20"/>
      <c r="O9" s="20"/>
    </row>
    <row r="10" spans="1:15" ht="20.25">
      <c r="A10" s="261" t="s">
        <v>426</v>
      </c>
      <c r="B10" s="261"/>
      <c r="C10" s="261"/>
      <c r="D10" s="261"/>
      <c r="E10" s="261"/>
      <c r="F10" s="261"/>
      <c r="G10" s="261"/>
      <c r="H10" s="261"/>
      <c r="I10" s="261"/>
      <c r="J10" s="20"/>
      <c r="K10" s="20"/>
      <c r="L10" s="20"/>
      <c r="M10" s="20"/>
      <c r="N10" s="20"/>
      <c r="O10" s="20"/>
    </row>
    <row r="11" spans="1:15" ht="20.25">
      <c r="A11" s="173"/>
      <c r="B11" s="173"/>
      <c r="C11" s="173"/>
      <c r="D11" s="173"/>
      <c r="E11" s="173"/>
      <c r="F11" s="173"/>
      <c r="G11" s="173"/>
      <c r="H11" s="173"/>
      <c r="I11" s="173"/>
      <c r="J11" s="20"/>
      <c r="K11" s="20"/>
      <c r="L11" s="20"/>
      <c r="M11" s="20"/>
      <c r="N11" s="20"/>
      <c r="O11" s="20"/>
    </row>
    <row r="12" spans="1:15" ht="20.25">
      <c r="A12" s="220" t="s">
        <v>309</v>
      </c>
      <c r="B12" s="221"/>
      <c r="C12" s="173"/>
      <c r="D12" s="173"/>
      <c r="E12" s="173"/>
      <c r="F12" s="173"/>
      <c r="G12" s="173"/>
      <c r="J12" s="20"/>
      <c r="K12" s="20"/>
      <c r="L12" s="20"/>
      <c r="M12" s="20"/>
      <c r="N12" s="20"/>
      <c r="O12" s="20"/>
    </row>
    <row r="13" spans="1:15" ht="20.25">
      <c r="A13" s="220" t="s">
        <v>310</v>
      </c>
      <c r="B13" s="221"/>
      <c r="C13" s="173"/>
      <c r="D13" s="173"/>
      <c r="E13" s="173"/>
      <c r="F13" s="173"/>
      <c r="G13" s="173"/>
      <c r="H13" s="173"/>
      <c r="I13" s="173"/>
      <c r="J13" s="20"/>
      <c r="K13" s="20"/>
      <c r="L13" s="20"/>
      <c r="M13" s="20"/>
      <c r="N13" s="20"/>
      <c r="O13" s="20"/>
    </row>
    <row r="14" spans="1:15" ht="20.25">
      <c r="A14" s="220" t="s">
        <v>308</v>
      </c>
      <c r="B14" s="221"/>
      <c r="C14" s="173"/>
      <c r="D14" s="173"/>
      <c r="E14" s="173"/>
      <c r="F14" s="173"/>
      <c r="G14" s="173"/>
      <c r="H14" s="173"/>
      <c r="I14" s="173"/>
      <c r="J14" s="20"/>
      <c r="K14" s="20"/>
      <c r="L14" s="20"/>
      <c r="M14" s="20"/>
      <c r="N14" s="20"/>
      <c r="O14" s="20"/>
    </row>
    <row r="15" spans="1:15" ht="20.25">
      <c r="A15" s="69"/>
      <c r="B15" s="69"/>
      <c r="C15" s="69"/>
      <c r="D15" s="69"/>
      <c r="E15" s="69"/>
      <c r="F15" s="69"/>
      <c r="G15" s="69"/>
      <c r="H15" s="69"/>
      <c r="I15" s="69"/>
      <c r="J15" s="20"/>
      <c r="K15" s="20"/>
      <c r="L15" s="20"/>
      <c r="M15" s="20"/>
      <c r="N15" s="20"/>
      <c r="O15" s="20"/>
    </row>
    <row r="16" spans="1:15" ht="18">
      <c r="A16" s="181" t="s">
        <v>60</v>
      </c>
      <c r="B16" s="182"/>
      <c r="C16" s="258">
        <f>'User Inputs'!C8</f>
        <v>0</v>
      </c>
      <c r="D16" s="258"/>
      <c r="E16" s="259"/>
      <c r="F16" s="21"/>
      <c r="G16" s="21"/>
      <c r="H16" s="263"/>
      <c r="I16" s="263"/>
      <c r="J16" s="21"/>
      <c r="K16" s="21"/>
      <c r="L16" s="21"/>
      <c r="M16" s="21"/>
      <c r="N16" s="21"/>
      <c r="O16" s="21"/>
    </row>
    <row r="17" spans="1:15" ht="18">
      <c r="A17" s="181" t="s">
        <v>107</v>
      </c>
      <c r="B17" s="182"/>
      <c r="C17" s="258">
        <f>'User Inputs'!C9</f>
        <v>0</v>
      </c>
      <c r="D17" s="258"/>
      <c r="E17" s="259"/>
      <c r="F17" s="21"/>
      <c r="G17" s="21"/>
      <c r="H17" s="21"/>
      <c r="I17" s="21"/>
      <c r="J17" s="21"/>
      <c r="K17" s="21"/>
      <c r="L17" s="21"/>
      <c r="M17" s="21"/>
      <c r="N17" s="21"/>
      <c r="O17" s="21"/>
    </row>
    <row r="18" spans="1:15" ht="18">
      <c r="A18" s="180" t="s">
        <v>61</v>
      </c>
      <c r="B18" s="184"/>
      <c r="C18" s="256">
        <f>'User Inputs'!C14</f>
        <v>0</v>
      </c>
      <c r="D18" s="256"/>
      <c r="E18" s="257"/>
      <c r="F18" s="44"/>
      <c r="G18" s="44"/>
      <c r="H18" s="44"/>
      <c r="I18" s="44"/>
      <c r="J18" s="22"/>
      <c r="K18" s="22"/>
      <c r="L18" s="22"/>
      <c r="M18" s="22"/>
      <c r="N18" s="22"/>
      <c r="O18" s="22"/>
    </row>
    <row r="19" spans="1:15" ht="18">
      <c r="A19" s="181" t="s">
        <v>116</v>
      </c>
      <c r="B19" s="183"/>
      <c r="C19" s="258">
        <f>'User Inputs'!C15</f>
        <v>0</v>
      </c>
      <c r="D19" s="258"/>
      <c r="E19" s="259"/>
      <c r="F19" s="45"/>
      <c r="G19" s="45"/>
      <c r="H19" s="45"/>
      <c r="I19" s="45"/>
      <c r="J19" s="22"/>
      <c r="K19" s="22"/>
      <c r="L19" s="22"/>
      <c r="M19" s="22"/>
      <c r="N19" s="22"/>
      <c r="O19" s="22"/>
    </row>
    <row r="22" spans="1:15" ht="15">
      <c r="E22" s="23" t="s">
        <v>41</v>
      </c>
      <c r="F22" s="23" t="s">
        <v>42</v>
      </c>
      <c r="G22" s="23" t="s">
        <v>43</v>
      </c>
      <c r="H22" s="19"/>
      <c r="I22" s="23" t="s">
        <v>6</v>
      </c>
    </row>
    <row r="23" spans="1:15" ht="13.5" thickBot="1"/>
    <row r="24" spans="1:15" ht="17.25" thickBot="1">
      <c r="A24" s="243" t="s">
        <v>40</v>
      </c>
      <c r="B24" s="244"/>
      <c r="C24" s="244"/>
      <c r="E24" s="247">
        <f>'IFM '!H301</f>
        <v>1165418.9306999999</v>
      </c>
      <c r="F24" s="247">
        <f>'IFM '!I301</f>
        <v>140397.72941176471</v>
      </c>
      <c r="G24" s="247">
        <f>'IFM '!J301</f>
        <v>136000</v>
      </c>
      <c r="H24" s="249"/>
      <c r="I24" s="247">
        <f>SUM(E24:G24)</f>
        <v>1441816.6601117647</v>
      </c>
    </row>
    <row r="25" spans="1:15" ht="15.75">
      <c r="A25" s="9"/>
      <c r="E25" s="250"/>
      <c r="F25" s="250"/>
      <c r="G25" s="250"/>
      <c r="H25" s="36"/>
      <c r="I25" s="250"/>
    </row>
    <row r="26" spans="1:15" ht="16.5">
      <c r="A26" s="243" t="s">
        <v>62</v>
      </c>
      <c r="E26" s="36"/>
      <c r="F26" s="36"/>
      <c r="G26" s="36"/>
      <c r="H26" s="36"/>
      <c r="I26" s="36"/>
    </row>
    <row r="27" spans="1:15">
      <c r="A27" s="46" t="s">
        <v>44</v>
      </c>
      <c r="E27" s="251" t="e">
        <f>'Phase I'!H277</f>
        <v>#NUM!</v>
      </c>
      <c r="F27" s="251" t="e">
        <f>'Phase I'!I277</f>
        <v>#NUM!</v>
      </c>
      <c r="G27" s="251" t="e">
        <f>'Phase I'!J277</f>
        <v>#NUM!</v>
      </c>
      <c r="H27" s="36"/>
      <c r="I27" s="251" t="e">
        <f>SUM(E27:G27)</f>
        <v>#NUM!</v>
      </c>
    </row>
    <row r="28" spans="1:15">
      <c r="A28" s="46" t="s">
        <v>45</v>
      </c>
      <c r="E28" s="251" t="e">
        <f>'Phase II'!I52</f>
        <v>#NUM!</v>
      </c>
      <c r="F28" s="251" t="e">
        <f>'Phase II'!J52</f>
        <v>#NUM!</v>
      </c>
      <c r="G28" s="251" t="e">
        <f>'Phase II'!K52</f>
        <v>#NUM!</v>
      </c>
      <c r="H28" s="36"/>
      <c r="I28" s="251" t="e">
        <f>SUM(E28:G28)</f>
        <v>#NUM!</v>
      </c>
    </row>
    <row r="29" spans="1:15">
      <c r="A29" s="46" t="s">
        <v>46</v>
      </c>
      <c r="E29" s="251">
        <f>'Phase III'!I62</f>
        <v>87982.153046666659</v>
      </c>
      <c r="F29" s="251">
        <f>'Phase III'!J62</f>
        <v>29193.537254901959</v>
      </c>
      <c r="G29" s="251">
        <f>'Phase III'!K62</f>
        <v>1000</v>
      </c>
      <c r="H29" s="36"/>
      <c r="I29" s="251">
        <f>SUM(E29:G29)</f>
        <v>118175.69030156863</v>
      </c>
    </row>
    <row r="30" spans="1:15" ht="15.75" thickBot="1">
      <c r="A30" s="245"/>
      <c r="E30" s="36"/>
      <c r="F30" s="36"/>
      <c r="G30" s="36"/>
      <c r="H30" s="36"/>
      <c r="I30" s="36"/>
    </row>
    <row r="31" spans="1:15" ht="18.75" thickBot="1">
      <c r="A31" s="243" t="s">
        <v>68</v>
      </c>
      <c r="B31" s="240"/>
      <c r="C31" s="46"/>
      <c r="E31" s="247" t="e">
        <f>E27+E28+E29</f>
        <v>#NUM!</v>
      </c>
      <c r="F31" s="248" t="e">
        <f>F27+F28+F29</f>
        <v>#NUM!</v>
      </c>
      <c r="G31" s="248" t="e">
        <f>G27+G28+G29</f>
        <v>#NUM!</v>
      </c>
      <c r="H31" s="249"/>
      <c r="I31" s="247" t="e">
        <f>I27+I28+I29</f>
        <v>#NUM!</v>
      </c>
    </row>
    <row r="32" spans="1:15" ht="13.5" thickBot="1">
      <c r="E32" s="36"/>
      <c r="F32" s="36"/>
      <c r="G32" s="36"/>
      <c r="H32" s="36"/>
      <c r="I32" s="36"/>
    </row>
    <row r="33" spans="1:11" ht="17.25" thickBot="1">
      <c r="A33" s="243" t="s">
        <v>115</v>
      </c>
      <c r="E33" s="247" t="s">
        <v>326</v>
      </c>
      <c r="F33" s="248">
        <f>Evaporation!H233</f>
        <v>0</v>
      </c>
      <c r="G33" s="248">
        <f>Evaporation!I233</f>
        <v>0</v>
      </c>
      <c r="H33" s="249"/>
      <c r="I33" s="247">
        <f>SUM(E33:G33)</f>
        <v>0</v>
      </c>
      <c r="J33" s="179"/>
      <c r="K33" s="179"/>
    </row>
    <row r="34" spans="1:11" ht="13.5" thickBot="1">
      <c r="E34" s="36"/>
      <c r="F34" s="36"/>
      <c r="G34" s="36"/>
      <c r="H34" s="36"/>
      <c r="I34" s="36"/>
    </row>
    <row r="35" spans="1:11" ht="17.25" thickBot="1">
      <c r="A35" s="246" t="s">
        <v>407</v>
      </c>
      <c r="E35" s="247" t="e">
        <f>E31</f>
        <v>#NUM!</v>
      </c>
      <c r="F35" s="248" t="e">
        <f>F31+F33</f>
        <v>#NUM!</v>
      </c>
      <c r="G35" s="248" t="e">
        <f>G31+G33</f>
        <v>#NUM!</v>
      </c>
      <c r="H35" s="249"/>
      <c r="I35" s="247" t="e">
        <f>I31+I33</f>
        <v>#NUM!</v>
      </c>
      <c r="J35" s="178"/>
    </row>
    <row r="36" spans="1:11">
      <c r="E36" s="36"/>
      <c r="F36" s="36"/>
      <c r="G36" s="36"/>
      <c r="H36" s="36"/>
      <c r="I36" s="36"/>
    </row>
    <row r="37" spans="1:11" ht="13.5" thickBot="1">
      <c r="A37" s="46"/>
      <c r="E37" s="36"/>
      <c r="F37" s="36"/>
      <c r="G37" s="36"/>
      <c r="H37" s="36"/>
      <c r="I37" s="36"/>
    </row>
    <row r="38" spans="1:11" ht="18.75" thickBot="1">
      <c r="A38" s="69" t="s">
        <v>406</v>
      </c>
      <c r="E38" s="252" t="e">
        <f>E35+E24</f>
        <v>#NUM!</v>
      </c>
      <c r="F38" s="252" t="e">
        <f>F35+F24</f>
        <v>#NUM!</v>
      </c>
      <c r="G38" s="252" t="e">
        <f>G35+G24</f>
        <v>#NUM!</v>
      </c>
      <c r="H38" s="253"/>
      <c r="I38" s="252" t="e">
        <f>I35+I24</f>
        <v>#NUM!</v>
      </c>
    </row>
    <row r="40" spans="1:11">
      <c r="K40" s="186"/>
    </row>
    <row r="41" spans="1:11" ht="15">
      <c r="A41" s="187"/>
    </row>
    <row r="45" spans="1:11">
      <c r="F45" s="1"/>
    </row>
  </sheetData>
  <sheetProtection algorithmName="SHA-512" hashValue="vOP9rJOkCayh27opb4j/KJk3DaHPAUlIQOX7/LJxgo1cgLkyQEdCAFmsQlGwZoeOpapuCAokDpRn1pvxsq/+fA==" saltValue="J14x+dG4G9Yut1kYKw+wVw==" spinCount="100000" sheet="1" objects="1" scenarios="1"/>
  <mergeCells count="13">
    <mergeCell ref="C18:E18"/>
    <mergeCell ref="C19:E19"/>
    <mergeCell ref="A1:I1"/>
    <mergeCell ref="A3:I3"/>
    <mergeCell ref="A6:I6"/>
    <mergeCell ref="A7:I7"/>
    <mergeCell ref="A8:I8"/>
    <mergeCell ref="A4:I4"/>
    <mergeCell ref="C16:E16"/>
    <mergeCell ref="C17:E17"/>
    <mergeCell ref="A5:I5"/>
    <mergeCell ref="H16:I16"/>
    <mergeCell ref="A10:I10"/>
  </mergeCells>
  <phoneticPr fontId="2" type="noConversion"/>
  <pageMargins left="0.75" right="0.75" top="1" bottom="1" header="0.5" footer="0.5"/>
  <pageSetup scale="58" orientation="portrait" r:id="rId1"/>
  <headerFooter alignWithMargins="0">
    <oddHeader>&amp;R&amp;D</oddHeader>
    <oddFooter>&amp;L&amp;F&amp;C&amp;A&amp;RPage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Q103"/>
  <sheetViews>
    <sheetView zoomScaleNormal="100" workbookViewId="0">
      <selection activeCell="E67" sqref="E67"/>
    </sheetView>
  </sheetViews>
  <sheetFormatPr defaultRowHeight="12.75"/>
  <cols>
    <col min="3" max="3" width="10.7109375" customWidth="1"/>
    <col min="4" max="4" width="22.5703125" customWidth="1"/>
    <col min="5" max="5" width="10.140625" bestFit="1" customWidth="1"/>
    <col min="6" max="8" width="9.28515625" bestFit="1" customWidth="1"/>
    <col min="9" max="9" width="10.140625" bestFit="1" customWidth="1"/>
    <col min="10" max="10" width="9.7109375" customWidth="1"/>
    <col min="11" max="11" width="9.140625" hidden="1" customWidth="1"/>
    <col min="12" max="12" width="10.42578125" hidden="1" customWidth="1"/>
    <col min="13" max="14" width="9.140625" hidden="1" customWidth="1"/>
  </cols>
  <sheetData>
    <row r="1" spans="1:8" ht="15.75">
      <c r="A1" s="9" t="s">
        <v>328</v>
      </c>
    </row>
    <row r="2" spans="1:8" ht="15.75">
      <c r="A2" s="9" t="s">
        <v>191</v>
      </c>
    </row>
    <row r="3" spans="1:8" ht="15.75">
      <c r="A3" s="9" t="s">
        <v>187</v>
      </c>
    </row>
    <row r="4" spans="1:8" ht="15.75">
      <c r="A4" s="9"/>
    </row>
    <row r="5" spans="1:8">
      <c r="A5" s="31" t="s">
        <v>157</v>
      </c>
    </row>
    <row r="6" spans="1:8">
      <c r="A6" s="32" t="s">
        <v>58</v>
      </c>
    </row>
    <row r="7" spans="1:8">
      <c r="A7" s="1"/>
    </row>
    <row r="8" spans="1:8" ht="18" customHeight="1">
      <c r="A8" s="46" t="s">
        <v>60</v>
      </c>
      <c r="B8" s="47"/>
      <c r="C8" s="268"/>
      <c r="D8" s="269"/>
      <c r="E8" s="174"/>
      <c r="F8" s="174"/>
      <c r="G8" s="174"/>
      <c r="H8" s="174"/>
    </row>
    <row r="9" spans="1:8" ht="18" customHeight="1">
      <c r="A9" s="48" t="s">
        <v>107</v>
      </c>
      <c r="B9" s="47"/>
      <c r="C9" s="270"/>
      <c r="D9" s="271"/>
      <c r="E9" s="174"/>
      <c r="F9" s="174"/>
      <c r="G9" s="174"/>
      <c r="H9" s="174"/>
    </row>
    <row r="10" spans="1:8" ht="18" customHeight="1">
      <c r="A10" s="46" t="s">
        <v>329</v>
      </c>
      <c r="B10" s="47"/>
      <c r="C10" s="268"/>
      <c r="D10" s="269"/>
      <c r="E10" s="174"/>
      <c r="F10" s="174"/>
      <c r="G10" s="174"/>
      <c r="H10" s="174"/>
    </row>
    <row r="11" spans="1:8" ht="18" customHeight="1">
      <c r="A11" s="46" t="s">
        <v>330</v>
      </c>
      <c r="B11" s="47"/>
      <c r="C11" s="268"/>
      <c r="D11" s="269"/>
      <c r="E11" s="174"/>
      <c r="F11" s="174"/>
      <c r="G11" s="174"/>
      <c r="H11" s="174"/>
    </row>
    <row r="12" spans="1:8" ht="18" customHeight="1">
      <c r="A12" s="46" t="s">
        <v>331</v>
      </c>
      <c r="B12" s="47"/>
      <c r="C12" s="268"/>
      <c r="D12" s="269"/>
      <c r="E12" s="174"/>
      <c r="F12" s="174"/>
      <c r="G12" s="174"/>
      <c r="H12" s="174"/>
    </row>
    <row r="13" spans="1:8" ht="18" customHeight="1">
      <c r="A13" s="46" t="s">
        <v>332</v>
      </c>
      <c r="B13" s="47"/>
      <c r="C13" s="268"/>
      <c r="D13" s="269"/>
      <c r="E13" s="174"/>
      <c r="F13" s="174"/>
      <c r="G13" s="174"/>
      <c r="H13" s="174"/>
    </row>
    <row r="14" spans="1:8" ht="18" customHeight="1">
      <c r="A14" s="48" t="s">
        <v>61</v>
      </c>
      <c r="B14" s="47"/>
      <c r="C14" s="272"/>
      <c r="D14" s="273"/>
      <c r="E14" s="175"/>
      <c r="F14" s="175"/>
      <c r="G14" s="175"/>
      <c r="H14" s="175"/>
    </row>
    <row r="15" spans="1:8" ht="18" customHeight="1">
      <c r="A15" s="48" t="s">
        <v>134</v>
      </c>
      <c r="B15" s="47"/>
      <c r="C15" s="268"/>
      <c r="D15" s="269"/>
      <c r="E15" s="174"/>
      <c r="F15" s="174"/>
      <c r="G15" s="174"/>
      <c r="H15" s="174"/>
    </row>
    <row r="16" spans="1:8" ht="18">
      <c r="A16" s="46" t="s">
        <v>333</v>
      </c>
      <c r="B16" s="47"/>
      <c r="C16" s="47"/>
      <c r="D16" s="129"/>
      <c r="E16" s="22"/>
      <c r="F16" s="22"/>
      <c r="G16" s="22"/>
      <c r="H16" s="22"/>
    </row>
    <row r="17" spans="1:10">
      <c r="A17" t="s">
        <v>245</v>
      </c>
      <c r="E17" s="50"/>
    </row>
    <row r="18" spans="1:10">
      <c r="A18" t="s">
        <v>334</v>
      </c>
      <c r="E18" s="50"/>
    </row>
    <row r="19" spans="1:10" ht="18">
      <c r="A19" s="150" t="s">
        <v>133</v>
      </c>
      <c r="B19" s="152"/>
      <c r="C19" s="152"/>
      <c r="D19" s="153"/>
      <c r="E19" s="22"/>
      <c r="F19" s="22"/>
      <c r="G19" s="22"/>
      <c r="H19" s="22"/>
    </row>
    <row r="20" spans="1:10">
      <c r="A20" s="154" t="s">
        <v>131</v>
      </c>
      <c r="B20" s="148"/>
      <c r="C20" s="148"/>
      <c r="D20" s="149"/>
      <c r="E20" s="50"/>
      <c r="F20" s="50"/>
      <c r="G20" s="50"/>
      <c r="H20" s="50"/>
    </row>
    <row r="21" spans="1:10">
      <c r="A21" s="224" t="s">
        <v>339</v>
      </c>
      <c r="B21" s="148"/>
      <c r="C21" s="148"/>
      <c r="D21" s="149"/>
      <c r="E21" s="11" t="s">
        <v>340</v>
      </c>
      <c r="F21" s="11" t="s">
        <v>341</v>
      </c>
      <c r="G21" s="11" t="s">
        <v>342</v>
      </c>
      <c r="H21" s="11" t="s">
        <v>343</v>
      </c>
    </row>
    <row r="22" spans="1:10">
      <c r="A22" s="147" t="s">
        <v>256</v>
      </c>
      <c r="B22" s="148"/>
      <c r="C22" s="148"/>
      <c r="D22" s="149"/>
      <c r="E22" s="41"/>
      <c r="F22" s="41"/>
      <c r="G22" s="41"/>
      <c r="H22" s="41"/>
    </row>
    <row r="23" spans="1:10">
      <c r="A23" s="139" t="s">
        <v>47</v>
      </c>
      <c r="B23" s="140"/>
      <c r="C23" s="140"/>
      <c r="D23" s="141"/>
      <c r="E23" s="41"/>
      <c r="F23" s="41"/>
      <c r="G23" s="41"/>
      <c r="H23" s="41"/>
    </row>
    <row r="24" spans="1:10">
      <c r="A24" s="224" t="s">
        <v>335</v>
      </c>
      <c r="B24" s="148"/>
      <c r="C24" s="148"/>
      <c r="D24" s="149"/>
      <c r="E24" s="74"/>
      <c r="F24" s="74"/>
      <c r="G24" s="74"/>
      <c r="H24" s="74"/>
    </row>
    <row r="25" spans="1:10">
      <c r="A25" s="225" t="s">
        <v>336</v>
      </c>
      <c r="B25" s="140"/>
      <c r="C25" s="140"/>
      <c r="D25" s="141"/>
      <c r="E25" s="74"/>
      <c r="F25" s="74"/>
      <c r="G25" s="74"/>
      <c r="H25" s="74"/>
    </row>
    <row r="26" spans="1:10">
      <c r="A26" s="226" t="s">
        <v>337</v>
      </c>
      <c r="B26" s="134"/>
      <c r="C26" s="134"/>
      <c r="D26" s="145"/>
      <c r="E26" s="146">
        <f>E24*0.25</f>
        <v>0</v>
      </c>
      <c r="F26" s="146">
        <f>F24*0.25</f>
        <v>0</v>
      </c>
      <c r="G26" s="146">
        <f>G24*0.25</f>
        <v>0</v>
      </c>
      <c r="H26" s="146">
        <f>H24*0.25</f>
        <v>0</v>
      </c>
    </row>
    <row r="27" spans="1:10">
      <c r="A27" s="139" t="s">
        <v>132</v>
      </c>
      <c r="B27" s="140"/>
      <c r="C27" s="140"/>
      <c r="D27" s="141"/>
      <c r="E27" s="11">
        <f>SUM(E24:E26)</f>
        <v>0</v>
      </c>
      <c r="F27" s="11">
        <f>SUM(F24:F26)</f>
        <v>0</v>
      </c>
      <c r="G27" s="11">
        <f>SUM(G24:G26)</f>
        <v>0</v>
      </c>
      <c r="H27" s="11">
        <f>SUM(H24:H26)</f>
        <v>0</v>
      </c>
    </row>
    <row r="28" spans="1:10">
      <c r="A28" s="139"/>
      <c r="B28" s="140"/>
      <c r="C28" s="140"/>
      <c r="D28" s="141"/>
      <c r="E28" s="50"/>
    </row>
    <row r="29" spans="1:10">
      <c r="A29" s="169" t="s">
        <v>78</v>
      </c>
      <c r="B29" s="140"/>
      <c r="C29" s="140"/>
      <c r="D29" s="141"/>
      <c r="E29" s="143" t="s">
        <v>73</v>
      </c>
      <c r="F29" s="143" t="s">
        <v>79</v>
      </c>
      <c r="G29" s="143" t="s">
        <v>82</v>
      </c>
      <c r="H29" s="228" t="s">
        <v>380</v>
      </c>
      <c r="I29" s="130"/>
      <c r="J29" s="130"/>
    </row>
    <row r="30" spans="1:10">
      <c r="A30" s="139" t="s">
        <v>76</v>
      </c>
      <c r="B30" s="140"/>
      <c r="C30" s="140"/>
      <c r="D30" s="141"/>
      <c r="E30" s="54" t="str">
        <f>'Unit Costs'!F42</f>
        <v>HH-225c</v>
      </c>
      <c r="F30" s="54" t="str">
        <f>'Unit Costs'!G42</f>
        <v>HH-150</v>
      </c>
      <c r="G30" s="54" t="str">
        <f>'Unit Costs'!H42</f>
        <v>HH-125c</v>
      </c>
      <c r="H30" s="54" t="str">
        <f>'Unit Costs'!I42</f>
        <v>HH-80c</v>
      </c>
      <c r="I30" s="2"/>
      <c r="J30" s="2"/>
    </row>
    <row r="31" spans="1:10">
      <c r="A31" s="225" t="s">
        <v>338</v>
      </c>
      <c r="B31" s="140"/>
      <c r="C31" s="140"/>
      <c r="D31" s="141"/>
      <c r="E31" s="102">
        <f>'Unit Costs'!F43</f>
        <v>4000</v>
      </c>
      <c r="F31" s="102">
        <f>'Unit Costs'!G43</f>
        <v>2090</v>
      </c>
      <c r="G31" s="102">
        <f>'Unit Costs'!H43</f>
        <v>620</v>
      </c>
      <c r="H31" s="102">
        <f>'Unit Costs'!I43</f>
        <v>410</v>
      </c>
      <c r="I31" s="24"/>
      <c r="J31" s="24"/>
    </row>
    <row r="32" spans="1:10">
      <c r="A32" s="139" t="s">
        <v>198</v>
      </c>
      <c r="B32" s="140"/>
      <c r="C32" s="140"/>
      <c r="D32" s="141"/>
      <c r="E32" s="102">
        <f>'Unit Costs'!F44</f>
        <v>260</v>
      </c>
      <c r="F32" s="102">
        <f>'Unit Costs'!G44</f>
        <v>260</v>
      </c>
      <c r="G32" s="102">
        <f>'Unit Costs'!H44</f>
        <v>340</v>
      </c>
      <c r="H32" s="102">
        <f>'Unit Costs'!I44</f>
        <v>320</v>
      </c>
      <c r="I32" s="24"/>
      <c r="J32" s="24"/>
    </row>
    <row r="33" spans="1:14">
      <c r="A33" s="139" t="s">
        <v>195</v>
      </c>
      <c r="B33" s="140"/>
      <c r="C33" s="140"/>
      <c r="D33" s="141"/>
      <c r="E33" s="102">
        <f>'Unit Costs'!F45</f>
        <v>1900</v>
      </c>
      <c r="F33" s="102">
        <f>'Unit Costs'!G45</f>
        <v>2000</v>
      </c>
      <c r="G33" s="102">
        <f>'Unit Costs'!H45</f>
        <v>2200</v>
      </c>
      <c r="H33" s="102">
        <f>'Unit Costs'!I45</f>
        <v>2200</v>
      </c>
      <c r="I33" s="24"/>
      <c r="J33" s="24"/>
    </row>
    <row r="34" spans="1:14">
      <c r="A34" s="139" t="s">
        <v>240</v>
      </c>
      <c r="B34" s="140"/>
      <c r="C34" s="140"/>
      <c r="D34" s="141"/>
      <c r="E34" s="55">
        <f>'Unit Costs'!F46</f>
        <v>6386</v>
      </c>
      <c r="F34" s="55">
        <f>'Unit Costs'!G46</f>
        <v>9971</v>
      </c>
      <c r="G34" s="55">
        <f>'Unit Costs'!H46</f>
        <v>4997</v>
      </c>
      <c r="H34" s="55">
        <f>'Unit Costs'!I46</f>
        <v>4209</v>
      </c>
      <c r="I34" s="131"/>
      <c r="J34" s="131"/>
    </row>
    <row r="35" spans="1:14" hidden="1">
      <c r="A35" s="139" t="s">
        <v>77</v>
      </c>
      <c r="B35" s="140"/>
      <c r="C35" s="140"/>
      <c r="D35" s="141"/>
      <c r="E35" s="55">
        <f>'Unit Costs'!F47</f>
        <v>0</v>
      </c>
      <c r="F35" s="55">
        <f>'Unit Costs'!G47</f>
        <v>0</v>
      </c>
      <c r="G35" s="55">
        <f>'Unit Costs'!H47</f>
        <v>0</v>
      </c>
      <c r="H35" s="55">
        <f>'Unit Costs'!I47</f>
        <v>0</v>
      </c>
      <c r="I35" s="131"/>
      <c r="J35" s="131"/>
    </row>
    <row r="36" spans="1:14" hidden="1">
      <c r="A36" s="139" t="s">
        <v>244</v>
      </c>
      <c r="B36" s="140"/>
      <c r="C36" s="140"/>
      <c r="D36" s="141"/>
      <c r="E36" s="56">
        <f>'Unit Costs'!F48</f>
        <v>0</v>
      </c>
      <c r="F36" s="56">
        <f>'Unit Costs'!G48</f>
        <v>0</v>
      </c>
      <c r="G36" s="56">
        <f>'Unit Costs'!H48</f>
        <v>0</v>
      </c>
      <c r="H36" s="56">
        <f>'Unit Costs'!I48</f>
        <v>0</v>
      </c>
      <c r="I36" s="132"/>
      <c r="J36" s="132"/>
    </row>
    <row r="37" spans="1:14">
      <c r="A37" s="225" t="s">
        <v>364</v>
      </c>
      <c r="B37" s="140"/>
      <c r="C37" s="140"/>
      <c r="D37" s="141"/>
      <c r="E37" s="49"/>
      <c r="F37" s="49"/>
      <c r="G37" s="49"/>
      <c r="H37" s="49"/>
      <c r="I37" s="133"/>
      <c r="J37" s="133"/>
    </row>
    <row r="38" spans="1:14">
      <c r="A38" s="225" t="s">
        <v>365</v>
      </c>
      <c r="B38" s="140"/>
      <c r="C38" s="140"/>
      <c r="D38" s="141"/>
      <c r="E38" s="49"/>
      <c r="F38" s="49"/>
      <c r="G38" s="49"/>
      <c r="H38" s="49"/>
      <c r="I38" s="133"/>
      <c r="J38" s="133"/>
    </row>
    <row r="39" spans="1:14">
      <c r="A39" s="225" t="s">
        <v>366</v>
      </c>
      <c r="B39" s="140"/>
      <c r="C39" s="140"/>
      <c r="D39" s="141"/>
      <c r="E39" s="49"/>
      <c r="F39" s="49"/>
      <c r="G39" s="49"/>
      <c r="H39" s="49"/>
      <c r="I39" s="133"/>
      <c r="J39" s="133"/>
    </row>
    <row r="40" spans="1:14">
      <c r="A40" s="225" t="s">
        <v>367</v>
      </c>
      <c r="B40" s="140"/>
      <c r="C40" s="140"/>
      <c r="D40" s="141"/>
      <c r="E40" s="49"/>
      <c r="F40" s="49"/>
      <c r="G40" s="49"/>
      <c r="H40" s="49"/>
      <c r="I40" s="133"/>
      <c r="J40" s="133"/>
    </row>
    <row r="41" spans="1:14">
      <c r="A41" s="6"/>
      <c r="E41" s="133"/>
      <c r="F41" s="133"/>
      <c r="G41" s="133"/>
      <c r="H41" s="133"/>
      <c r="I41" s="133"/>
      <c r="J41" s="133"/>
    </row>
    <row r="42" spans="1:14" ht="15">
      <c r="A42" s="150" t="s">
        <v>62</v>
      </c>
      <c r="B42" s="134"/>
      <c r="C42" s="134"/>
      <c r="D42" s="145"/>
      <c r="E42" s="133"/>
      <c r="F42" s="133"/>
      <c r="G42" s="133"/>
      <c r="H42" s="133"/>
      <c r="I42" s="133"/>
      <c r="J42" s="133"/>
    </row>
    <row r="43" spans="1:14">
      <c r="A43" s="151" t="s">
        <v>183</v>
      </c>
      <c r="D43" s="144"/>
    </row>
    <row r="44" spans="1:14">
      <c r="A44" s="147" t="s">
        <v>182</v>
      </c>
      <c r="B44" s="148"/>
      <c r="C44" s="148"/>
      <c r="D44" s="149"/>
    </row>
    <row r="45" spans="1:14">
      <c r="A45" s="161" t="s">
        <v>344</v>
      </c>
      <c r="B45" s="148"/>
      <c r="C45" s="148"/>
      <c r="D45" s="149"/>
      <c r="E45" s="11" t="s">
        <v>340</v>
      </c>
      <c r="F45" s="11" t="s">
        <v>341</v>
      </c>
      <c r="G45" s="11" t="s">
        <v>342</v>
      </c>
      <c r="H45" s="11" t="s">
        <v>343</v>
      </c>
      <c r="I45" s="75" t="s">
        <v>246</v>
      </c>
    </row>
    <row r="46" spans="1:14">
      <c r="A46" s="142" t="s">
        <v>345</v>
      </c>
      <c r="B46" s="140"/>
      <c r="C46" s="140"/>
      <c r="D46" s="141"/>
      <c r="E46" s="100"/>
      <c r="F46" s="100"/>
      <c r="G46" s="100"/>
      <c r="H46" s="100"/>
      <c r="I46" s="96" t="e">
        <f>ROUNDUP(LARGE(E46:H46,1),0)</f>
        <v>#NUM!</v>
      </c>
      <c r="K46" s="265" t="s">
        <v>247</v>
      </c>
      <c r="L46" s="265"/>
      <c r="M46" s="265"/>
      <c r="N46" s="265"/>
    </row>
    <row r="47" spans="1:14">
      <c r="A47" s="142" t="s">
        <v>346</v>
      </c>
      <c r="B47" s="140"/>
      <c r="C47" s="140"/>
      <c r="D47" s="141"/>
      <c r="E47" s="100"/>
      <c r="F47" s="100"/>
      <c r="G47" s="100"/>
      <c r="H47" s="100"/>
      <c r="I47" s="96" t="e">
        <f>ROUNDUP(LARGE(K47:N47,1),0)-I46</f>
        <v>#NUM!</v>
      </c>
      <c r="K47" s="96">
        <f>E46+E47</f>
        <v>0</v>
      </c>
      <c r="L47" s="96">
        <f>F46+F47</f>
        <v>0</v>
      </c>
      <c r="M47" s="96">
        <f>G46+G47</f>
        <v>0</v>
      </c>
      <c r="N47" s="96">
        <f>H46+H47</f>
        <v>0</v>
      </c>
    </row>
    <row r="48" spans="1:14">
      <c r="A48" s="142" t="s">
        <v>114</v>
      </c>
      <c r="B48" s="140"/>
      <c r="C48" s="140"/>
      <c r="D48" s="141"/>
      <c r="E48" s="96">
        <v>1</v>
      </c>
      <c r="F48" s="96">
        <v>1</v>
      </c>
      <c r="G48" s="96">
        <v>1</v>
      </c>
      <c r="H48" s="96">
        <v>1</v>
      </c>
      <c r="I48" s="96">
        <f>ROUNDUP(LARGE(E48:H48,1),0)</f>
        <v>1</v>
      </c>
      <c r="K48" s="157"/>
      <c r="L48" s="157"/>
      <c r="M48" s="157"/>
      <c r="N48" s="157"/>
    </row>
    <row r="49" spans="1:17">
      <c r="A49" s="169" t="s">
        <v>241</v>
      </c>
      <c r="B49" s="140"/>
      <c r="C49" s="140"/>
      <c r="D49" s="141"/>
      <c r="E49" s="133"/>
      <c r="F49" s="138"/>
      <c r="G49" s="138"/>
      <c r="H49" s="138"/>
    </row>
    <row r="50" spans="1:17">
      <c r="A50" s="142" t="s">
        <v>242</v>
      </c>
      <c r="B50" s="140"/>
      <c r="C50" s="140"/>
      <c r="D50" s="141"/>
      <c r="E50" s="42"/>
      <c r="F50" s="42"/>
      <c r="G50" s="42"/>
      <c r="H50" s="42"/>
    </row>
    <row r="51" spans="1:17">
      <c r="E51" s="138"/>
      <c r="F51" s="138"/>
      <c r="G51" s="138"/>
      <c r="H51" s="138"/>
    </row>
    <row r="52" spans="1:17" ht="15">
      <c r="A52" s="155" t="s">
        <v>63</v>
      </c>
      <c r="B52" s="140"/>
      <c r="C52" s="140"/>
      <c r="D52" s="141"/>
      <c r="E52" s="138"/>
      <c r="F52" s="138"/>
      <c r="G52" s="138"/>
      <c r="H52" s="138"/>
    </row>
    <row r="53" spans="1:17">
      <c r="A53" s="161" t="s">
        <v>344</v>
      </c>
      <c r="B53" s="148"/>
      <c r="C53" s="148"/>
      <c r="D53" s="149"/>
      <c r="E53" s="11" t="s">
        <v>340</v>
      </c>
      <c r="F53" s="11" t="s">
        <v>341</v>
      </c>
      <c r="G53" s="11" t="s">
        <v>342</v>
      </c>
      <c r="H53" s="11" t="s">
        <v>343</v>
      </c>
      <c r="I53" s="7" t="s">
        <v>246</v>
      </c>
      <c r="K53" s="2" t="s">
        <v>175</v>
      </c>
      <c r="L53" s="2" t="s">
        <v>129</v>
      </c>
      <c r="M53" s="2" t="s">
        <v>176</v>
      </c>
    </row>
    <row r="54" spans="1:17">
      <c r="A54" s="142" t="s">
        <v>354</v>
      </c>
      <c r="B54" s="140"/>
      <c r="C54" s="140"/>
      <c r="D54" s="141"/>
      <c r="E54" s="43"/>
      <c r="F54" s="43"/>
      <c r="G54" s="43"/>
      <c r="H54" s="43"/>
      <c r="I54" s="213">
        <f>SUM(E54:H54)</f>
        <v>0</v>
      </c>
      <c r="K54" s="94" t="s">
        <v>214</v>
      </c>
      <c r="L54" s="96">
        <v>111</v>
      </c>
      <c r="M54" s="95">
        <v>2.25</v>
      </c>
      <c r="O54" s="158"/>
      <c r="P54" s="157"/>
      <c r="Q54" s="10"/>
    </row>
    <row r="55" spans="1:17">
      <c r="A55" s="225" t="s">
        <v>355</v>
      </c>
      <c r="B55" s="140"/>
      <c r="C55" s="140"/>
      <c r="D55" s="141"/>
      <c r="E55" s="100"/>
      <c r="F55" s="100"/>
      <c r="G55" s="100"/>
      <c r="H55" s="100"/>
      <c r="I55" s="213"/>
      <c r="K55" s="97" t="s">
        <v>170</v>
      </c>
      <c r="L55" s="96">
        <v>184</v>
      </c>
      <c r="M55" s="95">
        <v>3</v>
      </c>
      <c r="O55" s="158"/>
      <c r="P55" s="157"/>
      <c r="Q55" s="10"/>
    </row>
    <row r="56" spans="1:17">
      <c r="A56" s="225" t="s">
        <v>356</v>
      </c>
      <c r="B56" s="140"/>
      <c r="C56" s="140"/>
      <c r="D56" s="141"/>
      <c r="E56" s="100"/>
      <c r="F56" s="100"/>
      <c r="G56" s="100"/>
      <c r="H56" s="100"/>
      <c r="I56" s="96">
        <f>SUM(E56:H56)</f>
        <v>0</v>
      </c>
      <c r="K56" s="94" t="s">
        <v>171</v>
      </c>
      <c r="L56" s="96">
        <v>237</v>
      </c>
      <c r="M56" s="95">
        <v>4</v>
      </c>
      <c r="O56" s="156"/>
      <c r="P56" s="157"/>
      <c r="Q56" s="10"/>
    </row>
    <row r="57" spans="1:17">
      <c r="A57" s="139" t="s">
        <v>280</v>
      </c>
      <c r="B57" s="140"/>
      <c r="C57" s="140"/>
      <c r="D57" s="141"/>
      <c r="E57" s="109"/>
      <c r="F57" s="109"/>
      <c r="G57" s="109"/>
      <c r="H57" s="109"/>
      <c r="I57" s="227"/>
      <c r="K57" s="94" t="s">
        <v>324</v>
      </c>
      <c r="L57" s="96">
        <v>308</v>
      </c>
      <c r="M57" s="95">
        <v>5</v>
      </c>
      <c r="O57" s="156"/>
      <c r="P57" s="157"/>
      <c r="Q57" s="10"/>
    </row>
    <row r="58" spans="1:17">
      <c r="K58" s="94" t="s">
        <v>213</v>
      </c>
      <c r="L58" s="96">
        <v>62</v>
      </c>
      <c r="M58" s="95">
        <v>1.25</v>
      </c>
      <c r="O58" s="156"/>
      <c r="P58" s="157"/>
      <c r="Q58" s="10"/>
    </row>
    <row r="59" spans="1:17" s="1" customFormat="1" ht="15">
      <c r="A59" s="155" t="s">
        <v>117</v>
      </c>
      <c r="B59" s="165"/>
      <c r="C59" s="165"/>
      <c r="D59" s="167"/>
      <c r="E59" s="5"/>
      <c r="F59" s="5"/>
      <c r="G59" s="5"/>
      <c r="H59" s="166" t="s">
        <v>125</v>
      </c>
      <c r="I59" s="5"/>
      <c r="K59" s="94" t="s">
        <v>192</v>
      </c>
      <c r="L59" s="96">
        <v>242</v>
      </c>
      <c r="M59" s="95">
        <v>4.5</v>
      </c>
      <c r="O59" s="156"/>
      <c r="P59" s="157"/>
      <c r="Q59" s="10"/>
    </row>
    <row r="60" spans="1:17">
      <c r="A60" s="147" t="s">
        <v>225</v>
      </c>
      <c r="B60" s="148"/>
      <c r="C60" s="148"/>
      <c r="D60" s="149"/>
      <c r="E60" s="7" t="s">
        <v>123</v>
      </c>
      <c r="F60" s="7" t="s">
        <v>124</v>
      </c>
      <c r="G60" s="79" t="s">
        <v>120</v>
      </c>
      <c r="H60" s="73" t="s">
        <v>121</v>
      </c>
      <c r="I60" s="71" t="s">
        <v>121</v>
      </c>
      <c r="K60" s="94" t="s">
        <v>172</v>
      </c>
      <c r="L60" s="96">
        <v>319</v>
      </c>
      <c r="M60" s="95">
        <v>5.5</v>
      </c>
      <c r="O60" s="156"/>
      <c r="P60" s="157"/>
      <c r="Q60" s="10"/>
    </row>
    <row r="61" spans="1:17">
      <c r="A61" s="139" t="s">
        <v>122</v>
      </c>
      <c r="B61" s="140"/>
      <c r="C61" s="140"/>
      <c r="D61" s="141"/>
      <c r="E61" s="40"/>
      <c r="F61" s="40"/>
      <c r="G61" s="40"/>
      <c r="H61" s="159"/>
      <c r="I61" s="40"/>
      <c r="K61" s="94" t="s">
        <v>212</v>
      </c>
      <c r="L61" s="96">
        <v>124</v>
      </c>
      <c r="M61" s="95">
        <v>2</v>
      </c>
      <c r="O61" s="156"/>
      <c r="P61" s="157"/>
      <c r="Q61" s="10"/>
    </row>
    <row r="62" spans="1:17">
      <c r="A62" s="139" t="s">
        <v>126</v>
      </c>
      <c r="B62" s="140"/>
      <c r="C62" s="140"/>
      <c r="D62" s="141"/>
      <c r="E62" s="40"/>
      <c r="F62" s="40"/>
      <c r="G62" s="40"/>
      <c r="H62" s="40"/>
      <c r="I62" s="40"/>
      <c r="K62" s="94" t="s">
        <v>173</v>
      </c>
      <c r="L62" s="96">
        <v>227</v>
      </c>
      <c r="M62" s="95">
        <v>4</v>
      </c>
      <c r="O62" s="156"/>
      <c r="P62" s="157"/>
      <c r="Q62" s="10"/>
    </row>
    <row r="63" spans="1:17">
      <c r="K63" s="94" t="s">
        <v>174</v>
      </c>
      <c r="L63" s="96">
        <v>242</v>
      </c>
      <c r="M63" s="95">
        <v>4.5</v>
      </c>
      <c r="O63" s="156"/>
      <c r="P63" s="157"/>
      <c r="Q63" s="10"/>
    </row>
    <row r="64" spans="1:17" ht="15">
      <c r="A64" s="155" t="s">
        <v>186</v>
      </c>
      <c r="B64" s="140"/>
      <c r="C64" s="140"/>
      <c r="D64" s="141"/>
      <c r="K64" s="94" t="s">
        <v>211</v>
      </c>
      <c r="L64" s="96">
        <v>318</v>
      </c>
      <c r="M64" s="95">
        <v>5</v>
      </c>
      <c r="O64" s="156"/>
      <c r="P64" s="157"/>
      <c r="Q64" s="10"/>
    </row>
    <row r="65" spans="1:17">
      <c r="A65" s="225" t="s">
        <v>357</v>
      </c>
      <c r="B65" s="140"/>
      <c r="C65" s="140"/>
      <c r="D65" s="141"/>
      <c r="E65" s="266" t="s">
        <v>324</v>
      </c>
      <c r="F65" s="267"/>
      <c r="K65" s="94" t="s">
        <v>215</v>
      </c>
      <c r="L65" s="96">
        <v>428</v>
      </c>
      <c r="M65" s="95">
        <v>7</v>
      </c>
      <c r="O65" s="156"/>
      <c r="P65" s="157"/>
      <c r="Q65" s="10"/>
    </row>
    <row r="66" spans="1:17">
      <c r="A66" s="142"/>
      <c r="B66" s="140"/>
      <c r="C66" s="140"/>
      <c r="D66" s="141"/>
      <c r="E66" s="7" t="s">
        <v>178</v>
      </c>
      <c r="F66" s="7" t="s">
        <v>176</v>
      </c>
      <c r="H66" s="2"/>
      <c r="I66" s="2"/>
      <c r="O66" s="156"/>
      <c r="P66" s="157"/>
      <c r="Q66" s="10"/>
    </row>
    <row r="67" spans="1:17">
      <c r="A67" s="142" t="s">
        <v>219</v>
      </c>
      <c r="B67" s="140"/>
      <c r="C67" s="140"/>
      <c r="D67" s="141"/>
      <c r="E67" s="7">
        <f>VLOOKUP(E65,K54:L65,2,FALSE)</f>
        <v>308</v>
      </c>
      <c r="F67" s="59">
        <f>VLOOKUP(E65,K54:M65,3,FALSE)</f>
        <v>5</v>
      </c>
      <c r="H67" s="2"/>
      <c r="I67" s="2"/>
      <c r="K67" s="156"/>
      <c r="L67" s="157"/>
      <c r="M67" s="10"/>
    </row>
    <row r="68" spans="1:17">
      <c r="A68" s="142" t="s">
        <v>177</v>
      </c>
      <c r="B68" s="140"/>
      <c r="C68" s="140"/>
      <c r="D68" s="141"/>
      <c r="E68" s="41"/>
      <c r="F68" s="59">
        <f>CEILING(E68/45,0.25)</f>
        <v>0</v>
      </c>
      <c r="K68" s="210"/>
    </row>
    <row r="69" spans="1:17">
      <c r="E69" s="50"/>
      <c r="F69" s="80"/>
      <c r="K69" s="210"/>
    </row>
    <row r="70" spans="1:17" ht="15">
      <c r="A70" s="99" t="s">
        <v>57</v>
      </c>
    </row>
    <row r="71" spans="1:17">
      <c r="A71" t="s">
        <v>218</v>
      </c>
      <c r="E71" s="42"/>
    </row>
    <row r="72" spans="1:17" ht="15">
      <c r="A72" s="99" t="s">
        <v>130</v>
      </c>
      <c r="K72" s="98" t="s">
        <v>179</v>
      </c>
    </row>
    <row r="73" spans="1:17">
      <c r="A73" t="s">
        <v>181</v>
      </c>
      <c r="E73" s="49"/>
      <c r="K73" s="98" t="s">
        <v>180</v>
      </c>
    </row>
    <row r="74" spans="1:17" ht="15">
      <c r="A74" s="99" t="s">
        <v>216</v>
      </c>
      <c r="D74" s="103"/>
    </row>
    <row r="75" spans="1:17">
      <c r="A75" t="s">
        <v>217</v>
      </c>
      <c r="E75" s="49"/>
      <c r="K75" s="98" t="s">
        <v>179</v>
      </c>
    </row>
    <row r="76" spans="1:17" ht="15">
      <c r="A76" s="99" t="s">
        <v>421</v>
      </c>
      <c r="K76" s="7" t="s">
        <v>179</v>
      </c>
      <c r="L76" s="137"/>
    </row>
    <row r="77" spans="1:17">
      <c r="A77" t="s">
        <v>422</v>
      </c>
      <c r="E77" s="49"/>
      <c r="K77" s="7" t="s">
        <v>180</v>
      </c>
      <c r="L77" s="137"/>
    </row>
    <row r="78" spans="1:17">
      <c r="A78" t="s">
        <v>423</v>
      </c>
      <c r="E78" s="133"/>
      <c r="K78" s="7" t="s">
        <v>179</v>
      </c>
      <c r="L78" s="137"/>
    </row>
    <row r="79" spans="1:17">
      <c r="A79" s="1" t="s">
        <v>228</v>
      </c>
      <c r="E79" s="49"/>
      <c r="K79" s="7" t="s">
        <v>180</v>
      </c>
      <c r="L79" s="137"/>
    </row>
    <row r="80" spans="1:17" ht="15">
      <c r="A80" s="99" t="s">
        <v>251</v>
      </c>
      <c r="E80" s="133"/>
      <c r="K80" s="2"/>
      <c r="L80" s="137"/>
    </row>
    <row r="81" spans="1:12">
      <c r="A81" t="s">
        <v>252</v>
      </c>
      <c r="E81" s="205"/>
      <c r="K81" s="7" t="s">
        <v>179</v>
      </c>
      <c r="L81" s="137"/>
    </row>
    <row r="82" spans="1:12">
      <c r="A82" t="s">
        <v>253</v>
      </c>
      <c r="E82" s="133"/>
      <c r="G82" s="264"/>
      <c r="H82" s="264"/>
      <c r="I82" s="264"/>
      <c r="K82" s="7" t="s">
        <v>180</v>
      </c>
      <c r="L82" s="137"/>
    </row>
    <row r="83" spans="1:12" ht="15">
      <c r="A83" s="219" t="s">
        <v>59</v>
      </c>
    </row>
    <row r="84" spans="1:12">
      <c r="A84" s="1" t="s">
        <v>313</v>
      </c>
    </row>
    <row r="85" spans="1:12">
      <c r="A85" s="6" t="s">
        <v>347</v>
      </c>
    </row>
    <row r="86" spans="1:12">
      <c r="A86" s="46" t="s">
        <v>363</v>
      </c>
    </row>
    <row r="87" spans="1:12">
      <c r="A87" s="46" t="s">
        <v>348</v>
      </c>
    </row>
    <row r="88" spans="1:12">
      <c r="A88" s="46" t="s">
        <v>349</v>
      </c>
    </row>
    <row r="89" spans="1:12">
      <c r="A89" s="6" t="s">
        <v>193</v>
      </c>
    </row>
    <row r="90" spans="1:12">
      <c r="A90" s="46" t="s">
        <v>350</v>
      </c>
    </row>
    <row r="91" spans="1:12">
      <c r="A91" s="46" t="s">
        <v>351</v>
      </c>
    </row>
    <row r="92" spans="1:12">
      <c r="A92" s="6" t="s">
        <v>210</v>
      </c>
    </row>
    <row r="93" spans="1:12">
      <c r="A93" s="46" t="s">
        <v>352</v>
      </c>
    </row>
    <row r="94" spans="1:12">
      <c r="A94" s="46" t="s">
        <v>362</v>
      </c>
    </row>
    <row r="95" spans="1:12">
      <c r="A95" s="46" t="s">
        <v>353</v>
      </c>
    </row>
    <row r="96" spans="1:12">
      <c r="A96" s="6" t="s">
        <v>314</v>
      </c>
    </row>
    <row r="97" spans="1:1">
      <c r="A97" s="46" t="s">
        <v>361</v>
      </c>
    </row>
    <row r="98" spans="1:1">
      <c r="A98" s="46" t="s">
        <v>360</v>
      </c>
    </row>
    <row r="99" spans="1:1">
      <c r="A99" s="46" t="s">
        <v>358</v>
      </c>
    </row>
    <row r="100" spans="1:1">
      <c r="A100" s="6" t="s">
        <v>311</v>
      </c>
    </row>
    <row r="101" spans="1:1">
      <c r="A101" s="6" t="s">
        <v>312</v>
      </c>
    </row>
    <row r="102" spans="1:1">
      <c r="A102" s="46" t="s">
        <v>416</v>
      </c>
    </row>
    <row r="103" spans="1:1">
      <c r="A103" s="46" t="s">
        <v>359</v>
      </c>
    </row>
  </sheetData>
  <sheetProtection algorithmName="SHA-512" hashValue="QYsIg53lefPRYVBUXEVIQOjwG8Ch3mVm5Vo5pBT3JZ6HXgan6+UK3xm3UYFkoLDyEReNrHKBL4iBKN/kBPXHQg==" saltValue="y+ggllSG3n2QA7K0V5FDrA==" spinCount="100000" sheet="1" objects="1" scenarios="1"/>
  <mergeCells count="11">
    <mergeCell ref="G82:I82"/>
    <mergeCell ref="K46:N46"/>
    <mergeCell ref="E65:F65"/>
    <mergeCell ref="C15:D15"/>
    <mergeCell ref="C8:D8"/>
    <mergeCell ref="C9:D9"/>
    <mergeCell ref="C14:D14"/>
    <mergeCell ref="C10:D10"/>
    <mergeCell ref="C11:D11"/>
    <mergeCell ref="C12:D12"/>
    <mergeCell ref="C13:D13"/>
  </mergeCells>
  <phoneticPr fontId="2" type="noConversion"/>
  <dataValidations count="6">
    <dataValidation type="list" allowBlank="1" showInputMessage="1" showErrorMessage="1" sqref="E79" xr:uid="{00000000-0002-0000-0100-000000000000}">
      <formula1>$K$78:$K$79</formula1>
    </dataValidation>
    <dataValidation type="list" allowBlank="1" showInputMessage="1" showErrorMessage="1" sqref="E75" xr:uid="{00000000-0002-0000-0100-000001000000}">
      <formula1>$K$75</formula1>
    </dataValidation>
    <dataValidation type="list" allowBlank="1" showInputMessage="1" showErrorMessage="1" sqref="E77" xr:uid="{00000000-0002-0000-0100-000002000000}">
      <formula1>$K$76:$K$77</formula1>
    </dataValidation>
    <dataValidation type="list" allowBlank="1" showInputMessage="1" showErrorMessage="1" sqref="E73" xr:uid="{00000000-0002-0000-0100-000003000000}">
      <formula1>$K$72:$K$73</formula1>
    </dataValidation>
    <dataValidation type="list" allowBlank="1" showInputMessage="1" showErrorMessage="1" sqref="E81" xr:uid="{00000000-0002-0000-0100-000004000000}">
      <formula1>$K$81:$K$82</formula1>
    </dataValidation>
    <dataValidation type="list" allowBlank="1" showInputMessage="1" showErrorMessage="1" sqref="E65:F65" xr:uid="{00000000-0002-0000-0100-000005000000}">
      <formula1>$K$54:$K$65</formula1>
    </dataValidation>
  </dataValidations>
  <pageMargins left="0.7" right="0.7" top="0.75" bottom="0.75" header="0.3" footer="0.3"/>
  <pageSetup scale="61" orientation="portrait" r:id="rId1"/>
  <headerFooter>
    <oddHeader>&amp;C&amp;"Arial,Bold"&amp;16USER INPUTS&amp;R&amp;D</oddHeader>
    <oddFooter>&amp;L&amp;F&amp;C&amp;A&amp;RPage &amp;P of &amp;N</oddFooter>
  </headerFooter>
  <rowBreaks count="1" manualBreakCount="1">
    <brk id="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L308"/>
  <sheetViews>
    <sheetView zoomScaleNormal="100" zoomScalePageLayoutView="75" workbookViewId="0">
      <selection activeCell="D4" sqref="D4"/>
    </sheetView>
  </sheetViews>
  <sheetFormatPr defaultRowHeight="12.75"/>
  <cols>
    <col min="1" max="1" width="11" bestFit="1" customWidth="1"/>
    <col min="2" max="2" width="9.28515625" bestFit="1" customWidth="1"/>
    <col min="3" max="3" width="12.28515625" bestFit="1" customWidth="1"/>
    <col min="4" max="6" width="12.140625" customWidth="1"/>
    <col min="7" max="7" width="11.7109375" bestFit="1" customWidth="1"/>
    <col min="8" max="8" width="12.5703125" bestFit="1" customWidth="1"/>
    <col min="9" max="10" width="13" bestFit="1" customWidth="1"/>
    <col min="11" max="11" width="13.140625" bestFit="1" customWidth="1"/>
    <col min="12" max="12" width="14.5703125" bestFit="1" customWidth="1"/>
  </cols>
  <sheetData>
    <row r="2" spans="1:12" ht="18">
      <c r="A2" s="69" t="s">
        <v>368</v>
      </c>
    </row>
    <row r="4" spans="1:12" ht="16.5" thickBot="1">
      <c r="A4" s="9" t="s">
        <v>7</v>
      </c>
      <c r="C4" s="1"/>
      <c r="D4" s="1"/>
      <c r="E4" s="1"/>
      <c r="F4" s="1"/>
      <c r="L4" s="5"/>
    </row>
    <row r="5" spans="1:12">
      <c r="A5" s="32" t="s">
        <v>58</v>
      </c>
      <c r="C5" s="1"/>
      <c r="D5" s="1"/>
      <c r="E5" s="1"/>
      <c r="F5" s="1"/>
      <c r="L5" s="64" t="s">
        <v>5</v>
      </c>
    </row>
    <row r="6" spans="1:12" ht="13.5" thickBot="1">
      <c r="L6" s="65" t="s">
        <v>105</v>
      </c>
    </row>
    <row r="8" spans="1:12">
      <c r="A8" s="1" t="s">
        <v>189</v>
      </c>
      <c r="D8" s="7" t="s">
        <v>91</v>
      </c>
      <c r="E8" s="7" t="s">
        <v>92</v>
      </c>
      <c r="F8" s="7" t="s">
        <v>93</v>
      </c>
      <c r="G8" s="7" t="s">
        <v>94</v>
      </c>
      <c r="H8" s="7" t="s">
        <v>95</v>
      </c>
      <c r="I8" s="7" t="s">
        <v>96</v>
      </c>
      <c r="J8" s="7" t="s">
        <v>97</v>
      </c>
      <c r="K8" s="7" t="s">
        <v>99</v>
      </c>
    </row>
    <row r="9" spans="1:12">
      <c r="A9" s="142" t="s">
        <v>0</v>
      </c>
      <c r="B9" s="140"/>
      <c r="C9" s="141"/>
      <c r="D9" s="7">
        <v>2</v>
      </c>
      <c r="E9" s="7">
        <v>12</v>
      </c>
      <c r="F9" s="7">
        <v>2</v>
      </c>
      <c r="G9" s="7">
        <v>7</v>
      </c>
      <c r="H9" s="7">
        <f>D9*E9*F9*G9</f>
        <v>336</v>
      </c>
      <c r="I9" s="59">
        <f>H9*52/12</f>
        <v>1456</v>
      </c>
      <c r="J9" s="11">
        <f>I9*6</f>
        <v>8736</v>
      </c>
      <c r="K9" s="57">
        <f>IF('User Inputs'!$E$79="yes",'Unit Costs'!G8,'Unit Costs'!F8)</f>
        <v>61.332250000000002</v>
      </c>
      <c r="L9" s="53">
        <f>K9*J9</f>
        <v>535798.53599999996</v>
      </c>
    </row>
    <row r="10" spans="1:12">
      <c r="A10" s="142" t="s">
        <v>1</v>
      </c>
      <c r="B10" s="140"/>
      <c r="C10" s="141"/>
      <c r="D10" s="7">
        <v>1</v>
      </c>
      <c r="E10" s="7">
        <v>12</v>
      </c>
      <c r="F10" s="7">
        <v>2</v>
      </c>
      <c r="G10" s="7">
        <v>7</v>
      </c>
      <c r="H10" s="7">
        <f>D10*E10*F10*G10</f>
        <v>168</v>
      </c>
      <c r="I10" s="59">
        <f>H10*52/12</f>
        <v>728</v>
      </c>
      <c r="J10" s="11">
        <f>I10*6</f>
        <v>4368</v>
      </c>
      <c r="K10" s="57">
        <f>IF('User Inputs'!$E$79="yes",'Unit Costs'!G9,'Unit Costs'!F9)</f>
        <v>61.028624999999998</v>
      </c>
      <c r="L10" s="53">
        <f>K10*J10</f>
        <v>266573.03399999999</v>
      </c>
    </row>
    <row r="11" spans="1:12">
      <c r="A11" s="142" t="s">
        <v>2</v>
      </c>
      <c r="B11" s="140"/>
      <c r="C11" s="141"/>
      <c r="D11" s="7">
        <v>1</v>
      </c>
      <c r="E11" s="7">
        <v>8</v>
      </c>
      <c r="F11" s="7">
        <v>1</v>
      </c>
      <c r="G11" s="7">
        <v>5</v>
      </c>
      <c r="H11" s="7">
        <f>D11*E11*F11*G11</f>
        <v>40</v>
      </c>
      <c r="I11" s="59">
        <f>H11*52/12</f>
        <v>173.33333333333334</v>
      </c>
      <c r="J11" s="11">
        <f>I11*6</f>
        <v>1040</v>
      </c>
      <c r="K11" s="57">
        <f>IF('User Inputs'!$E$79="yes",'Unit Costs'!G10,'Unit Costs'!F10)</f>
        <v>86.885329999999982</v>
      </c>
      <c r="L11" s="53">
        <f>K11*J11</f>
        <v>90360.743199999983</v>
      </c>
    </row>
    <row r="12" spans="1:12">
      <c r="A12" s="142" t="s">
        <v>4</v>
      </c>
      <c r="B12" s="140"/>
      <c r="C12" s="141"/>
      <c r="D12" s="7">
        <v>1</v>
      </c>
      <c r="E12" s="7">
        <v>8</v>
      </c>
      <c r="F12" s="7">
        <v>1</v>
      </c>
      <c r="G12" s="7">
        <v>5</v>
      </c>
      <c r="H12" s="7">
        <f>D12*E12*F12*G12</f>
        <v>40</v>
      </c>
      <c r="I12" s="59">
        <f>H12*52/12</f>
        <v>173.33333333333334</v>
      </c>
      <c r="J12" s="11">
        <f>I12*6</f>
        <v>1040</v>
      </c>
      <c r="K12" s="57">
        <f>IF('User Inputs'!$E$79="yes",'Unit Costs'!G11,'Unit Costs'!F11)</f>
        <v>81.295593749999981</v>
      </c>
      <c r="L12" s="53">
        <f>K12*J12</f>
        <v>84547.417499999981</v>
      </c>
    </row>
    <row r="13" spans="1:12" ht="13.5" thickBot="1">
      <c r="I13" s="10"/>
      <c r="K13" s="3"/>
      <c r="L13" s="13"/>
    </row>
    <row r="14" spans="1:12" ht="13.5" thickBot="1">
      <c r="A14" s="1" t="s">
        <v>22</v>
      </c>
      <c r="I14" s="10"/>
      <c r="L14" s="63">
        <f>SUM(L9:L12)</f>
        <v>977279.73069999996</v>
      </c>
    </row>
    <row r="15" spans="1:12">
      <c r="C15" s="2"/>
      <c r="D15" s="2"/>
      <c r="E15" s="2"/>
      <c r="F15" s="2"/>
      <c r="G15" s="2"/>
      <c r="L15" s="15"/>
    </row>
    <row r="16" spans="1:12" ht="13.5" customHeight="1">
      <c r="H16" s="2"/>
      <c r="J16" s="2"/>
      <c r="K16" s="2"/>
      <c r="L16" s="8"/>
    </row>
    <row r="17" spans="1:12" ht="13.5" customHeight="1">
      <c r="E17" s="168"/>
      <c r="F17" s="90" t="s">
        <v>158</v>
      </c>
      <c r="G17" s="90" t="s">
        <v>163</v>
      </c>
      <c r="H17" s="2"/>
      <c r="J17" s="2"/>
      <c r="K17" s="2"/>
      <c r="L17" s="8"/>
    </row>
    <row r="18" spans="1:12" ht="13.5" customHeight="1">
      <c r="E18" s="92" t="s">
        <v>135</v>
      </c>
      <c r="F18" s="164" t="s">
        <v>159</v>
      </c>
      <c r="G18" s="164" t="s">
        <v>160</v>
      </c>
      <c r="H18" s="90" t="s">
        <v>145</v>
      </c>
      <c r="I18" s="72" t="s">
        <v>135</v>
      </c>
      <c r="J18" s="72" t="s">
        <v>136</v>
      </c>
      <c r="K18" s="72" t="s">
        <v>139</v>
      </c>
      <c r="L18" s="8"/>
    </row>
    <row r="19" spans="1:12" ht="13.5" customHeight="1">
      <c r="A19" s="1" t="s">
        <v>411</v>
      </c>
      <c r="B19" s="148"/>
      <c r="C19" s="148"/>
      <c r="D19" s="148"/>
      <c r="E19" s="73" t="s">
        <v>144</v>
      </c>
      <c r="F19" s="91" t="s">
        <v>144</v>
      </c>
      <c r="G19" s="91" t="s">
        <v>144</v>
      </c>
      <c r="H19" s="91" t="s">
        <v>144</v>
      </c>
      <c r="I19" s="73" t="s">
        <v>98</v>
      </c>
      <c r="J19" s="73" t="s">
        <v>137</v>
      </c>
      <c r="K19" s="73" t="s">
        <v>99</v>
      </c>
      <c r="L19" s="8"/>
    </row>
    <row r="20" spans="1:12">
      <c r="A20" s="142" t="s">
        <v>19</v>
      </c>
      <c r="B20" s="140"/>
      <c r="C20" s="140"/>
      <c r="D20" s="141"/>
      <c r="E20" s="76">
        <v>0</v>
      </c>
      <c r="F20" s="76">
        <v>0</v>
      </c>
      <c r="G20" s="73">
        <v>0</v>
      </c>
      <c r="H20" s="76">
        <f>E20+F20+G20</f>
        <v>0</v>
      </c>
      <c r="I20" s="77">
        <v>0</v>
      </c>
      <c r="J20" s="76">
        <v>32</v>
      </c>
      <c r="K20" s="57">
        <f>'Unit Costs'!F14</f>
        <v>185.5</v>
      </c>
      <c r="L20" s="53">
        <f>K20*(H20*I20+J20)</f>
        <v>5936</v>
      </c>
    </row>
    <row r="21" spans="1:12">
      <c r="A21" s="142" t="s">
        <v>140</v>
      </c>
      <c r="B21" s="140"/>
      <c r="C21" s="140"/>
      <c r="D21" s="141"/>
      <c r="E21" s="59">
        <v>16</v>
      </c>
      <c r="F21" s="59">
        <f>'User Inputs'!F67*2</f>
        <v>10</v>
      </c>
      <c r="G21" s="59">
        <f>CEILING(E33/45*6,0.25)</f>
        <v>0</v>
      </c>
      <c r="H21" s="76">
        <f>E21+F21+G21</f>
        <v>26</v>
      </c>
      <c r="I21" s="58">
        <v>12</v>
      </c>
      <c r="J21" s="59">
        <v>80</v>
      </c>
      <c r="K21" s="29">
        <f>'Unit Costs'!F15</f>
        <v>143.5</v>
      </c>
      <c r="L21" s="53">
        <f>K21*(H21*I21+J21)</f>
        <v>56252</v>
      </c>
    </row>
    <row r="22" spans="1:12">
      <c r="A22" s="142" t="s">
        <v>31</v>
      </c>
      <c r="B22" s="140"/>
      <c r="C22" s="140"/>
      <c r="D22" s="141"/>
      <c r="E22" s="59">
        <v>16</v>
      </c>
      <c r="F22" s="59">
        <f>'User Inputs'!F67*2</f>
        <v>10</v>
      </c>
      <c r="G22" s="59">
        <f>CEILING(E33/45*6,0.25)</f>
        <v>0</v>
      </c>
      <c r="H22" s="76">
        <f>E22+F22+G22</f>
        <v>26</v>
      </c>
      <c r="I22" s="58">
        <v>24</v>
      </c>
      <c r="J22" s="59">
        <v>80</v>
      </c>
      <c r="K22" s="29">
        <f>'Unit Costs'!F16</f>
        <v>90.5</v>
      </c>
      <c r="L22" s="53">
        <f>K22*(H22*I22+J22)</f>
        <v>63712</v>
      </c>
    </row>
    <row r="23" spans="1:12">
      <c r="A23" s="142" t="s">
        <v>3</v>
      </c>
      <c r="B23" s="140"/>
      <c r="C23" s="140"/>
      <c r="D23" s="141"/>
      <c r="E23" s="59">
        <v>0</v>
      </c>
      <c r="F23" s="59">
        <v>0</v>
      </c>
      <c r="G23" s="7">
        <v>0</v>
      </c>
      <c r="H23" s="76">
        <f>E23+F23+G23</f>
        <v>0</v>
      </c>
      <c r="I23" s="58">
        <v>0</v>
      </c>
      <c r="J23" s="59">
        <v>8</v>
      </c>
      <c r="K23" s="29">
        <f>'Unit Costs'!F17</f>
        <v>69</v>
      </c>
      <c r="L23" s="53">
        <f>K23*(H23*I23+J23)</f>
        <v>552</v>
      </c>
    </row>
    <row r="24" spans="1:12">
      <c r="I24" s="10"/>
      <c r="K24" s="3"/>
      <c r="L24" s="13"/>
    </row>
    <row r="25" spans="1:12">
      <c r="G25" s="277" t="s">
        <v>143</v>
      </c>
      <c r="H25" s="278"/>
      <c r="I25" s="72" t="s">
        <v>145</v>
      </c>
      <c r="J25" s="72" t="s">
        <v>90</v>
      </c>
      <c r="K25" s="84" t="s">
        <v>149</v>
      </c>
      <c r="L25" s="13"/>
    </row>
    <row r="26" spans="1:12">
      <c r="D26" s="2"/>
      <c r="E26" s="2"/>
      <c r="G26" s="7" t="s">
        <v>141</v>
      </c>
      <c r="H26" s="79" t="s">
        <v>142</v>
      </c>
      <c r="I26" s="76" t="s">
        <v>154</v>
      </c>
      <c r="J26" s="73" t="s">
        <v>155</v>
      </c>
      <c r="K26" s="85" t="s">
        <v>100</v>
      </c>
      <c r="L26" s="13"/>
    </row>
    <row r="27" spans="1:12">
      <c r="A27" s="142" t="s">
        <v>167</v>
      </c>
      <c r="B27" s="140"/>
      <c r="C27" s="140"/>
      <c r="D27" s="162"/>
      <c r="E27" s="162"/>
      <c r="F27" s="141"/>
      <c r="G27" s="77">
        <f>I21</f>
        <v>12</v>
      </c>
      <c r="H27" s="81">
        <f>I22</f>
        <v>24</v>
      </c>
      <c r="I27" s="77">
        <f>$I$21+$I$22</f>
        <v>36</v>
      </c>
      <c r="J27" s="82">
        <f>2*I27</f>
        <v>72</v>
      </c>
      <c r="K27" s="83">
        <f>'Unit Costs'!F20</f>
        <v>178</v>
      </c>
      <c r="L27" s="53">
        <f>J27*K27</f>
        <v>12816</v>
      </c>
    </row>
    <row r="28" spans="1:12">
      <c r="A28" s="161" t="s">
        <v>168</v>
      </c>
      <c r="B28" s="148"/>
      <c r="C28" s="148"/>
      <c r="D28" s="163"/>
      <c r="E28" s="163"/>
      <c r="F28" s="149"/>
      <c r="G28" s="58">
        <f>I21</f>
        <v>12</v>
      </c>
      <c r="H28" s="78">
        <f>I22</f>
        <v>24</v>
      </c>
      <c r="I28" s="58">
        <f>$I$21+$I$22</f>
        <v>36</v>
      </c>
      <c r="J28" s="11">
        <f>1*I28</f>
        <v>36</v>
      </c>
      <c r="K28" s="28">
        <f>'Unit Costs'!F21</f>
        <v>51</v>
      </c>
      <c r="L28" s="53">
        <f>J28*K28</f>
        <v>1836</v>
      </c>
    </row>
    <row r="29" spans="1:12">
      <c r="G29" s="2"/>
      <c r="K29" s="34"/>
      <c r="L29" s="13"/>
    </row>
    <row r="30" spans="1:12">
      <c r="E30" s="72" t="s">
        <v>156</v>
      </c>
      <c r="F30" s="276" t="s">
        <v>169</v>
      </c>
      <c r="G30" s="276"/>
      <c r="H30" s="72" t="s">
        <v>150</v>
      </c>
      <c r="I30" s="72" t="s">
        <v>153</v>
      </c>
      <c r="J30" s="72" t="s">
        <v>138</v>
      </c>
      <c r="K30" s="88" t="s">
        <v>152</v>
      </c>
      <c r="L30" s="13"/>
    </row>
    <row r="31" spans="1:12">
      <c r="C31" s="2"/>
      <c r="E31" s="73" t="s">
        <v>129</v>
      </c>
      <c r="F31" s="71" t="s">
        <v>141</v>
      </c>
      <c r="G31" s="86" t="s">
        <v>142</v>
      </c>
      <c r="H31" s="73" t="s">
        <v>151</v>
      </c>
      <c r="I31" s="77" t="s">
        <v>154</v>
      </c>
      <c r="J31" s="82" t="s">
        <v>129</v>
      </c>
      <c r="K31" s="89" t="s">
        <v>101</v>
      </c>
      <c r="L31" s="13"/>
    </row>
    <row r="32" spans="1:12">
      <c r="A32" s="142" t="s">
        <v>147</v>
      </c>
      <c r="B32" s="140"/>
      <c r="C32" s="160"/>
      <c r="D32" s="141"/>
      <c r="E32" s="77">
        <f>'User Inputs'!E67</f>
        <v>308</v>
      </c>
      <c r="F32" s="58">
        <f>I21</f>
        <v>12</v>
      </c>
      <c r="G32" s="78">
        <f>I22</f>
        <v>24</v>
      </c>
      <c r="H32" s="73">
        <v>1</v>
      </c>
      <c r="I32" s="77">
        <f>($I$21+$I$22)*H32</f>
        <v>36</v>
      </c>
      <c r="J32" s="82">
        <f>E32*I32*2</f>
        <v>22176</v>
      </c>
      <c r="K32" s="87">
        <f>'Unit Costs'!F24</f>
        <v>0.7</v>
      </c>
      <c r="L32" s="53">
        <f>J32*K32</f>
        <v>15523.199999999999</v>
      </c>
    </row>
    <row r="33" spans="1:12">
      <c r="A33" s="142" t="s">
        <v>148</v>
      </c>
      <c r="B33" s="140"/>
      <c r="C33" s="160"/>
      <c r="D33" s="141"/>
      <c r="E33" s="7">
        <f>'User Inputs'!E68</f>
        <v>0</v>
      </c>
      <c r="F33" s="58">
        <f>I21</f>
        <v>12</v>
      </c>
      <c r="G33" s="78">
        <f>I22</f>
        <v>24</v>
      </c>
      <c r="H33" s="7">
        <v>3</v>
      </c>
      <c r="I33" s="58">
        <f>($I$21+$I$22)*H33</f>
        <v>108</v>
      </c>
      <c r="J33" s="11">
        <f>E33*I33*2</f>
        <v>0</v>
      </c>
      <c r="K33" s="30">
        <f>'Unit Costs'!F24</f>
        <v>0.7</v>
      </c>
      <c r="L33" s="53">
        <f>J33*K33</f>
        <v>0</v>
      </c>
    </row>
    <row r="34" spans="1:12" ht="13.5" thickBot="1">
      <c r="I34" s="10"/>
      <c r="L34" s="8"/>
    </row>
    <row r="35" spans="1:12" ht="13.5" thickBot="1">
      <c r="A35" s="1" t="s">
        <v>412</v>
      </c>
      <c r="I35" s="10"/>
      <c r="L35" s="63">
        <f>SUM(L20:L33)</f>
        <v>156627.20000000001</v>
      </c>
    </row>
    <row r="36" spans="1:12">
      <c r="A36" s="6" t="s">
        <v>59</v>
      </c>
      <c r="I36" s="10"/>
      <c r="L36" s="93"/>
    </row>
    <row r="37" spans="1:12">
      <c r="A37" t="s">
        <v>161</v>
      </c>
      <c r="I37" s="10"/>
      <c r="L37" s="16"/>
    </row>
    <row r="38" spans="1:12">
      <c r="A38" t="s">
        <v>162</v>
      </c>
      <c r="I38" s="10"/>
      <c r="K38" s="80"/>
      <c r="L38" s="16"/>
    </row>
    <row r="39" spans="1:12">
      <c r="A39" t="s">
        <v>146</v>
      </c>
      <c r="I39" s="10"/>
      <c r="K39" s="2"/>
      <c r="L39" s="16"/>
    </row>
    <row r="40" spans="1:12">
      <c r="A40" t="s">
        <v>164</v>
      </c>
      <c r="C40" s="2"/>
      <c r="D40" s="2"/>
      <c r="E40" s="2"/>
      <c r="F40" s="2"/>
      <c r="G40" s="2"/>
      <c r="K40" s="2"/>
      <c r="L40" s="16"/>
    </row>
    <row r="41" spans="1:12">
      <c r="C41" s="2"/>
      <c r="D41" s="2"/>
      <c r="E41" s="2"/>
      <c r="F41" s="2"/>
      <c r="G41" s="2"/>
      <c r="K41" s="2"/>
      <c r="L41" s="16"/>
    </row>
    <row r="42" spans="1:12">
      <c r="C42" s="2"/>
      <c r="D42" s="2"/>
      <c r="L42" s="16"/>
    </row>
    <row r="43" spans="1:12">
      <c r="A43" s="1" t="s">
        <v>413</v>
      </c>
      <c r="C43" s="2"/>
      <c r="D43" s="2"/>
      <c r="H43" s="2"/>
      <c r="I43" s="2"/>
      <c r="J43" s="2"/>
      <c r="K43" s="2"/>
      <c r="L43" s="8"/>
    </row>
    <row r="44" spans="1:12">
      <c r="A44" s="6" t="s">
        <v>39</v>
      </c>
      <c r="C44" s="80"/>
      <c r="D44" s="80"/>
      <c r="H44" s="7" t="s">
        <v>95</v>
      </c>
      <c r="I44" s="7" t="s">
        <v>98</v>
      </c>
      <c r="J44" s="7" t="s">
        <v>97</v>
      </c>
      <c r="K44" s="7" t="s">
        <v>99</v>
      </c>
      <c r="L44" s="8"/>
    </row>
    <row r="45" spans="1:12">
      <c r="A45" s="142" t="s">
        <v>184</v>
      </c>
      <c r="B45" s="140"/>
      <c r="C45" s="160"/>
      <c r="D45" s="160"/>
      <c r="E45" s="140"/>
      <c r="F45" s="140"/>
      <c r="G45" s="141"/>
      <c r="H45" s="7">
        <v>4</v>
      </c>
      <c r="I45" s="58">
        <v>26</v>
      </c>
      <c r="J45" s="11">
        <f>H45*I45</f>
        <v>104</v>
      </c>
      <c r="K45" s="29">
        <f>'Unit Costs'!F15</f>
        <v>143.5</v>
      </c>
      <c r="L45" s="53">
        <f>K45*J45</f>
        <v>14924</v>
      </c>
    </row>
    <row r="46" spans="1:12">
      <c r="A46" s="142" t="s">
        <v>33</v>
      </c>
      <c r="B46" s="140"/>
      <c r="C46" s="160"/>
      <c r="D46" s="160"/>
      <c r="E46" s="140"/>
      <c r="F46" s="140"/>
      <c r="G46" s="141"/>
      <c r="H46" s="7">
        <v>4</v>
      </c>
      <c r="I46" s="58">
        <v>26</v>
      </c>
      <c r="J46" s="11">
        <f>H46*I46</f>
        <v>104</v>
      </c>
      <c r="K46" s="29">
        <f>'Unit Costs'!F16</f>
        <v>90.5</v>
      </c>
      <c r="L46" s="53">
        <f>K46*J46</f>
        <v>9412</v>
      </c>
    </row>
    <row r="47" spans="1:12">
      <c r="A47" s="142" t="s">
        <v>3</v>
      </c>
      <c r="B47" s="140"/>
      <c r="C47" s="160"/>
      <c r="D47" s="160"/>
      <c r="E47" s="140"/>
      <c r="F47" s="140"/>
      <c r="G47" s="141"/>
      <c r="H47" s="7">
        <v>4</v>
      </c>
      <c r="I47" s="58">
        <v>26</v>
      </c>
      <c r="J47" s="11">
        <f>H47*I47</f>
        <v>104</v>
      </c>
      <c r="K47" s="29">
        <f>'Unit Costs'!F17</f>
        <v>69</v>
      </c>
      <c r="L47" s="53">
        <f>K47*J47</f>
        <v>7176</v>
      </c>
    </row>
    <row r="48" spans="1:12" ht="13.5" thickBot="1"/>
    <row r="49" spans="1:12" ht="13.5" thickBot="1">
      <c r="A49" s="1" t="s">
        <v>415</v>
      </c>
      <c r="L49" s="63">
        <f>SUM(L45:L47)</f>
        <v>31512</v>
      </c>
    </row>
    <row r="50" spans="1:12" ht="13.5" thickBot="1">
      <c r="L50" s="8"/>
    </row>
    <row r="51" spans="1:12" ht="16.5" thickBot="1">
      <c r="A51" s="9" t="s">
        <v>36</v>
      </c>
      <c r="L51" s="18">
        <f>L14+L35+L49</f>
        <v>1165418.9306999999</v>
      </c>
    </row>
    <row r="52" spans="1:12" ht="15.75">
      <c r="A52" s="9"/>
      <c r="L52" s="67"/>
    </row>
    <row r="53" spans="1:12" ht="18">
      <c r="A53" s="69" t="s">
        <v>368</v>
      </c>
      <c r="L53" s="67"/>
    </row>
    <row r="54" spans="1:12" ht="15.75">
      <c r="A54" s="9"/>
      <c r="L54" s="67"/>
    </row>
    <row r="55" spans="1:12" ht="16.5" thickBot="1">
      <c r="A55" s="9" t="s">
        <v>8</v>
      </c>
    </row>
    <row r="56" spans="1:12">
      <c r="A56" s="32" t="s">
        <v>58</v>
      </c>
      <c r="L56" s="64" t="s">
        <v>5</v>
      </c>
    </row>
    <row r="57" spans="1:12" ht="13.5" thickBot="1">
      <c r="F57" s="189"/>
      <c r="L57" s="65" t="s">
        <v>105</v>
      </c>
    </row>
    <row r="58" spans="1:12">
      <c r="F58" s="189"/>
      <c r="L58" s="5"/>
    </row>
    <row r="59" spans="1:12">
      <c r="G59" s="7" t="s">
        <v>276</v>
      </c>
      <c r="H59" s="7" t="s">
        <v>270</v>
      </c>
      <c r="I59" s="192" t="s">
        <v>272</v>
      </c>
      <c r="J59" s="7" t="s">
        <v>108</v>
      </c>
    </row>
    <row r="60" spans="1:12">
      <c r="A60" s="1" t="s">
        <v>16</v>
      </c>
      <c r="E60" s="7" t="s">
        <v>102</v>
      </c>
      <c r="F60" s="79" t="s">
        <v>103</v>
      </c>
      <c r="G60" s="7" t="s">
        <v>273</v>
      </c>
      <c r="H60" s="7" t="s">
        <v>274</v>
      </c>
      <c r="I60" s="7" t="s">
        <v>275</v>
      </c>
      <c r="J60" s="7" t="s">
        <v>273</v>
      </c>
      <c r="L60" s="8"/>
    </row>
    <row r="61" spans="1:12">
      <c r="A61" t="s">
        <v>10</v>
      </c>
      <c r="E61" s="7">
        <v>1</v>
      </c>
      <c r="F61" s="7">
        <v>6</v>
      </c>
      <c r="G61" s="61">
        <f>'Unit Costs'!$F30</f>
        <v>4095</v>
      </c>
      <c r="H61" s="54">
        <f>176*$G$70</f>
        <v>44</v>
      </c>
      <c r="I61" s="57">
        <f>'Unit Costs'!G30</f>
        <v>24.041666666666664</v>
      </c>
      <c r="J61" s="61">
        <f>G61+(H61*I61)</f>
        <v>5152.833333333333</v>
      </c>
      <c r="L61" s="53">
        <f t="shared" ref="L61:L68" si="0">J61*E61*F61</f>
        <v>30917</v>
      </c>
    </row>
    <row r="62" spans="1:12">
      <c r="A62" s="6" t="s">
        <v>13</v>
      </c>
      <c r="E62" s="7">
        <v>1</v>
      </c>
      <c r="F62" s="7">
        <v>6</v>
      </c>
      <c r="G62" s="61">
        <f>'Unit Costs'!$F31</f>
        <v>1865.6</v>
      </c>
      <c r="H62" s="54">
        <f>176*$G$70</f>
        <v>44</v>
      </c>
      <c r="I62" s="57">
        <f>'Unit Costs'!G31</f>
        <v>2.65</v>
      </c>
      <c r="J62" s="61">
        <f>G62+(H62*I62)</f>
        <v>1982.1999999999998</v>
      </c>
      <c r="L62" s="53">
        <f t="shared" si="0"/>
        <v>11893.199999999999</v>
      </c>
    </row>
    <row r="63" spans="1:12">
      <c r="A63" s="6" t="s">
        <v>11</v>
      </c>
      <c r="E63" s="7">
        <v>2</v>
      </c>
      <c r="F63" s="7">
        <v>6</v>
      </c>
      <c r="G63" s="61">
        <f>'Unit Costs'!$F32</f>
        <v>5178.8</v>
      </c>
      <c r="H63" s="54">
        <f>176*$G$70</f>
        <v>44</v>
      </c>
      <c r="I63" s="57">
        <f>'Unit Costs'!G32</f>
        <v>6.8294117647058821</v>
      </c>
      <c r="J63" s="61">
        <f>G63+(H63*I63)</f>
        <v>5479.2941176470595</v>
      </c>
      <c r="L63" s="53">
        <f t="shared" si="0"/>
        <v>65751.529411764714</v>
      </c>
    </row>
    <row r="64" spans="1:12">
      <c r="A64" t="s">
        <v>17</v>
      </c>
      <c r="E64" s="7">
        <v>1</v>
      </c>
      <c r="F64" s="7">
        <f>IF('User Inputs'!$E$73="yes",CEILING(6/4,3),0)</f>
        <v>0</v>
      </c>
      <c r="G64" s="61">
        <f>'Unit Costs'!$F33</f>
        <v>17850</v>
      </c>
      <c r="H64" s="54">
        <f>176*$G$70</f>
        <v>44</v>
      </c>
      <c r="I64" s="57">
        <f>'Unit Costs'!G33</f>
        <v>56.445357142857148</v>
      </c>
      <c r="J64" s="61">
        <f>G64+(H64*I64)</f>
        <v>20333.595714285715</v>
      </c>
      <c r="L64" s="53">
        <f t="shared" si="0"/>
        <v>0</v>
      </c>
    </row>
    <row r="65" spans="1:12">
      <c r="A65" s="6" t="s">
        <v>14</v>
      </c>
      <c r="E65" s="7">
        <v>1</v>
      </c>
      <c r="F65" s="7">
        <v>6</v>
      </c>
      <c r="G65" s="61">
        <f>'Unit Costs'!$F34</f>
        <v>3506.8</v>
      </c>
      <c r="H65" s="57" t="str">
        <f>I65</f>
        <v>n/a</v>
      </c>
      <c r="I65" s="57" t="str">
        <f>'Unit Costs'!G34</f>
        <v>n/a</v>
      </c>
      <c r="J65" s="61">
        <f>G65</f>
        <v>3506.8</v>
      </c>
      <c r="L65" s="53">
        <f t="shared" si="0"/>
        <v>21040.800000000003</v>
      </c>
    </row>
    <row r="66" spans="1:12">
      <c r="A66" t="s">
        <v>15</v>
      </c>
      <c r="E66" s="7">
        <v>1</v>
      </c>
      <c r="F66" s="7">
        <f>CEILING(6/12,1)</f>
        <v>1</v>
      </c>
      <c r="G66" s="61">
        <f>'Unit Costs'!$F35</f>
        <v>7378.8</v>
      </c>
      <c r="H66" s="57" t="str">
        <f>I66</f>
        <v>n/a</v>
      </c>
      <c r="I66" s="57" t="str">
        <f>'Unit Costs'!G35</f>
        <v>n/a</v>
      </c>
      <c r="J66" s="61">
        <f>G66</f>
        <v>7378.8</v>
      </c>
      <c r="L66" s="53">
        <f t="shared" si="0"/>
        <v>7378.8</v>
      </c>
    </row>
    <row r="67" spans="1:12">
      <c r="A67" t="s">
        <v>111</v>
      </c>
      <c r="E67" s="7">
        <v>1</v>
      </c>
      <c r="F67" s="7">
        <v>6</v>
      </c>
      <c r="G67" s="61">
        <f>'Unit Costs'!$F36</f>
        <v>330</v>
      </c>
      <c r="H67" s="57" t="str">
        <f>I67</f>
        <v>n/a</v>
      </c>
      <c r="I67" s="57" t="str">
        <f>'Unit Costs'!G36</f>
        <v>n/a</v>
      </c>
      <c r="J67" s="61">
        <f>G67</f>
        <v>330</v>
      </c>
      <c r="L67" s="53">
        <f t="shared" si="0"/>
        <v>1980</v>
      </c>
    </row>
    <row r="68" spans="1:12">
      <c r="A68" t="s">
        <v>112</v>
      </c>
      <c r="E68" s="7">
        <v>1</v>
      </c>
      <c r="F68" s="7">
        <v>6</v>
      </c>
      <c r="G68" s="61">
        <f>'Unit Costs'!$F37</f>
        <v>239.4</v>
      </c>
      <c r="H68" s="57" t="str">
        <f>I68</f>
        <v>n/a</v>
      </c>
      <c r="I68" s="57" t="str">
        <f>'Unit Costs'!G37</f>
        <v>n/a</v>
      </c>
      <c r="J68" s="61">
        <f>G68</f>
        <v>239.4</v>
      </c>
      <c r="L68" s="53">
        <f t="shared" si="0"/>
        <v>1436.4</v>
      </c>
    </row>
    <row r="69" spans="1:12">
      <c r="L69" s="8"/>
    </row>
    <row r="70" spans="1:12">
      <c r="A70" t="s">
        <v>271</v>
      </c>
      <c r="D70" s="207"/>
      <c r="F70" s="207"/>
      <c r="G70" s="206">
        <v>0.25</v>
      </c>
      <c r="L70" s="8"/>
    </row>
    <row r="71" spans="1:12">
      <c r="L71" s="8"/>
    </row>
    <row r="72" spans="1:12" ht="13.5" thickBot="1">
      <c r="L72" s="8"/>
    </row>
    <row r="73" spans="1:12" ht="16.5" thickBot="1">
      <c r="A73" s="9" t="s">
        <v>37</v>
      </c>
      <c r="L73" s="18">
        <f>SUM(L61:L68)</f>
        <v>140397.72941176471</v>
      </c>
    </row>
    <row r="74" spans="1:12">
      <c r="L74" s="8"/>
    </row>
    <row r="75" spans="1:12" ht="15.75">
      <c r="A75" s="9"/>
      <c r="L75" s="67"/>
    </row>
    <row r="76" spans="1:12" ht="15.75">
      <c r="A76" s="9" t="s">
        <v>35</v>
      </c>
      <c r="L76" s="8"/>
    </row>
    <row r="79" spans="1:12">
      <c r="A79" s="1" t="s">
        <v>128</v>
      </c>
      <c r="L79" s="8"/>
    </row>
    <row r="80" spans="1:12">
      <c r="A80" s="6" t="s">
        <v>27</v>
      </c>
      <c r="G80" s="7" t="s">
        <v>127</v>
      </c>
      <c r="H80" s="7" t="s">
        <v>29</v>
      </c>
      <c r="I80" s="7" t="s">
        <v>108</v>
      </c>
      <c r="L80" s="8"/>
    </row>
    <row r="81" spans="1:12">
      <c r="A81" s="139" t="s">
        <v>118</v>
      </c>
      <c r="B81" s="140"/>
      <c r="C81" s="140"/>
      <c r="D81" s="140"/>
      <c r="E81" s="140"/>
      <c r="F81" s="141"/>
      <c r="G81" s="58">
        <f>'User Inputs'!E61*26+'User Inputs'!F61*6+'User Inputs'!G61*2+'User Inputs'!H61+'User Inputs'!I61</f>
        <v>0</v>
      </c>
      <c r="H81" s="28">
        <f>'Unit Costs'!F63</f>
        <v>647</v>
      </c>
      <c r="I81" s="12">
        <f>G81*H81</f>
        <v>0</v>
      </c>
      <c r="L81" s="8"/>
    </row>
    <row r="82" spans="1:12">
      <c r="A82" s="139" t="s">
        <v>28</v>
      </c>
      <c r="B82" s="140"/>
      <c r="C82" s="140"/>
      <c r="D82" s="140"/>
      <c r="E82" s="140"/>
      <c r="F82" s="141"/>
      <c r="G82" s="58">
        <f>'User Inputs'!$E$62*26+'User Inputs'!$F$62*6+'User Inputs'!$G$62*2+'User Inputs'!$H$62+'User Inputs'!$I$62</f>
        <v>0</v>
      </c>
      <c r="H82" s="28">
        <f>'Unit Costs'!F64</f>
        <v>736</v>
      </c>
      <c r="I82" s="12">
        <f>G82*H82</f>
        <v>0</v>
      </c>
      <c r="L82" s="8"/>
    </row>
    <row r="83" spans="1:12" ht="13.5" thickBot="1">
      <c r="L83" s="8"/>
    </row>
    <row r="84" spans="1:12" ht="13.5" thickBot="1">
      <c r="A84" s="1" t="s">
        <v>30</v>
      </c>
      <c r="L84" s="63">
        <f>I81+I82</f>
        <v>0</v>
      </c>
    </row>
    <row r="85" spans="1:12">
      <c r="L85" s="8"/>
    </row>
    <row r="86" spans="1:12">
      <c r="A86" s="1" t="s">
        <v>165</v>
      </c>
      <c r="L86" s="14">
        <f>'User Inputs'!E71</f>
        <v>0</v>
      </c>
    </row>
    <row r="87" spans="1:12">
      <c r="A87" s="1"/>
      <c r="L87" s="8"/>
    </row>
    <row r="88" spans="1:12">
      <c r="A88" s="1" t="s">
        <v>166</v>
      </c>
      <c r="L88" s="14">
        <v>5000</v>
      </c>
    </row>
    <row r="89" spans="1:12">
      <c r="A89" s="1"/>
      <c r="L89" s="8"/>
    </row>
    <row r="90" spans="1:12">
      <c r="A90" s="1" t="s">
        <v>20</v>
      </c>
      <c r="L90" s="14">
        <v>25000</v>
      </c>
    </row>
    <row r="91" spans="1:12">
      <c r="A91" s="1"/>
      <c r="L91" s="8"/>
    </row>
    <row r="92" spans="1:12">
      <c r="A92" s="1" t="s">
        <v>21</v>
      </c>
      <c r="L92" s="53">
        <f>IF('User Inputs'!E77="yes",50000,100000)</f>
        <v>100000</v>
      </c>
    </row>
    <row r="93" spans="1:12">
      <c r="A93" s="1"/>
      <c r="L93" s="8"/>
    </row>
    <row r="94" spans="1:12">
      <c r="A94" s="1" t="s">
        <v>34</v>
      </c>
      <c r="L94" s="14">
        <v>6000</v>
      </c>
    </row>
    <row r="95" spans="1:12" ht="13.5" thickBot="1">
      <c r="L95" s="8"/>
    </row>
    <row r="96" spans="1:12" ht="16.5" thickBot="1">
      <c r="A96" s="9" t="s">
        <v>38</v>
      </c>
      <c r="L96" s="18">
        <f>L84+L86+L88+L90+L92+L94</f>
        <v>136000</v>
      </c>
    </row>
    <row r="97" spans="1:12">
      <c r="L97" s="8"/>
    </row>
    <row r="99" spans="1:12" ht="15">
      <c r="I99" s="23" t="s">
        <v>41</v>
      </c>
      <c r="J99" s="23" t="s">
        <v>42</v>
      </c>
      <c r="K99" s="23" t="s">
        <v>43</v>
      </c>
      <c r="L99" s="23" t="s">
        <v>6</v>
      </c>
    </row>
    <row r="100" spans="1:12" ht="13.5" thickBot="1"/>
    <row r="101" spans="1:12" ht="18.75" thickBot="1">
      <c r="A101" s="69" t="s">
        <v>224</v>
      </c>
      <c r="I101" s="70">
        <f>L51</f>
        <v>1165418.9306999999</v>
      </c>
      <c r="J101" s="70">
        <f>L73</f>
        <v>140397.72941176471</v>
      </c>
      <c r="K101" s="70">
        <f>L96</f>
        <v>136000</v>
      </c>
      <c r="L101" s="70">
        <f>SUM(I101:K101)</f>
        <v>1441816.6601117647</v>
      </c>
    </row>
    <row r="103" spans="1:12" s="69" customFormat="1" ht="18">
      <c r="A103" s="69" t="s">
        <v>369</v>
      </c>
    </row>
    <row r="105" spans="1:12" ht="13.5" thickBot="1"/>
    <row r="106" spans="1:12" ht="16.5" thickBot="1">
      <c r="A106" s="279">
        <f>'User Inputs'!C10</f>
        <v>0</v>
      </c>
      <c r="B106" s="280"/>
      <c r="C106" s="281"/>
    </row>
    <row r="107" spans="1:12" ht="15.75">
      <c r="A107" s="9"/>
    </row>
    <row r="108" spans="1:12" ht="15.75">
      <c r="A108" s="9" t="s">
        <v>8</v>
      </c>
    </row>
    <row r="109" spans="1:12">
      <c r="A109" s="32" t="s">
        <v>58</v>
      </c>
    </row>
    <row r="110" spans="1:12">
      <c r="A110" s="169" t="s">
        <v>9</v>
      </c>
      <c r="B110" s="141"/>
      <c r="L110" s="8"/>
    </row>
    <row r="111" spans="1:12">
      <c r="A111" s="139" t="s">
        <v>47</v>
      </c>
      <c r="B111" s="140"/>
      <c r="C111" s="141"/>
      <c r="D111" s="11">
        <f>'User Inputs'!$E$23</f>
        <v>0</v>
      </c>
      <c r="L111" s="8"/>
    </row>
    <row r="112" spans="1:12">
      <c r="A112" s="139" t="s">
        <v>106</v>
      </c>
      <c r="B112" s="140"/>
      <c r="C112" s="141"/>
      <c r="D112" s="11">
        <f>'User Inputs'!$E$27</f>
        <v>0</v>
      </c>
      <c r="E112" s="2"/>
      <c r="I112" s="2"/>
      <c r="J112" s="2"/>
      <c r="K112" s="2"/>
    </row>
    <row r="113" spans="1:12" ht="13.5" thickBot="1">
      <c r="A113" s="6"/>
      <c r="E113" s="2"/>
      <c r="I113" s="2"/>
      <c r="J113" s="2"/>
      <c r="K113" s="2"/>
    </row>
    <row r="114" spans="1:12">
      <c r="A114" s="6"/>
      <c r="D114" s="60" t="s">
        <v>71</v>
      </c>
      <c r="E114" s="7" t="s">
        <v>109</v>
      </c>
      <c r="I114" s="2"/>
      <c r="L114" s="64" t="s">
        <v>5</v>
      </c>
    </row>
    <row r="115" spans="1:12" ht="13.5" thickBot="1">
      <c r="A115" s="139" t="s">
        <v>80</v>
      </c>
      <c r="B115" s="140"/>
      <c r="C115" s="141"/>
      <c r="D115" s="7">
        <f>'User Inputs'!E37</f>
        <v>0</v>
      </c>
      <c r="E115" s="27">
        <f>'User Inputs'!$E$34</f>
        <v>6386</v>
      </c>
      <c r="I115" s="2"/>
      <c r="L115" s="65" t="s">
        <v>105</v>
      </c>
    </row>
    <row r="116" spans="1:12">
      <c r="A116" s="139" t="s">
        <v>81</v>
      </c>
      <c r="B116" s="140"/>
      <c r="C116" s="141"/>
      <c r="D116" s="7">
        <f>'User Inputs'!F37</f>
        <v>0</v>
      </c>
      <c r="E116" s="27">
        <f>'User Inputs'!$F$34</f>
        <v>9971</v>
      </c>
    </row>
    <row r="117" spans="1:12">
      <c r="A117" s="139" t="s">
        <v>83</v>
      </c>
      <c r="B117" s="140"/>
      <c r="C117" s="141"/>
      <c r="D117" s="7">
        <f>'User Inputs'!G37</f>
        <v>0</v>
      </c>
      <c r="E117" s="27">
        <f>'User Inputs'!$G$34</f>
        <v>4997</v>
      </c>
    </row>
    <row r="118" spans="1:12">
      <c r="A118" s="225" t="s">
        <v>381</v>
      </c>
      <c r="B118" s="140"/>
      <c r="C118" s="141"/>
      <c r="D118" s="7">
        <f>'User Inputs'!$H$37</f>
        <v>0</v>
      </c>
      <c r="E118" s="27">
        <f>'User Inputs'!$H$34</f>
        <v>4209</v>
      </c>
    </row>
    <row r="119" spans="1:12">
      <c r="I119" s="2"/>
      <c r="J119" s="7" t="s">
        <v>103</v>
      </c>
      <c r="K119" s="7" t="s">
        <v>104</v>
      </c>
      <c r="L119" s="8"/>
    </row>
    <row r="120" spans="1:12">
      <c r="A120" s="169" t="s">
        <v>18</v>
      </c>
      <c r="B120" s="140"/>
      <c r="C120" s="140"/>
      <c r="D120" s="140"/>
      <c r="E120" s="140"/>
      <c r="F120" s="140"/>
      <c r="G120" s="140"/>
      <c r="H120" s="140"/>
      <c r="I120" s="170"/>
      <c r="J120" s="7">
        <v>6</v>
      </c>
      <c r="K120" s="27">
        <f>(E115*D115+E116*D116+E117*D117+E118*D118)</f>
        <v>0</v>
      </c>
      <c r="L120" s="17">
        <f>K120*J120</f>
        <v>0</v>
      </c>
    </row>
    <row r="121" spans="1:12">
      <c r="A121" s="1"/>
      <c r="I121" s="8"/>
      <c r="J121" s="2"/>
      <c r="K121" s="36"/>
      <c r="L121" s="16"/>
    </row>
    <row r="122" spans="1:12">
      <c r="A122" s="169" t="s">
        <v>110</v>
      </c>
      <c r="B122" s="140"/>
      <c r="C122" s="140"/>
      <c r="D122" s="140"/>
      <c r="E122" s="140"/>
      <c r="F122" s="140"/>
      <c r="G122" s="140"/>
      <c r="H122" s="140"/>
      <c r="I122" s="140"/>
      <c r="J122" s="86"/>
      <c r="K122" s="171"/>
      <c r="L122" s="17">
        <f>L120*0.1</f>
        <v>0</v>
      </c>
    </row>
    <row r="123" spans="1:12" ht="13.5" thickBot="1">
      <c r="A123" s="1"/>
      <c r="J123" s="2"/>
      <c r="K123" s="36"/>
      <c r="L123" s="16"/>
    </row>
    <row r="124" spans="1:12" ht="13.5" thickBot="1">
      <c r="A124" s="1" t="s">
        <v>86</v>
      </c>
      <c r="J124" s="2"/>
      <c r="K124" s="36"/>
      <c r="L124" s="63">
        <f>SUM(L120:L122)</f>
        <v>0</v>
      </c>
    </row>
    <row r="125" spans="1:12" ht="13.5" thickBot="1">
      <c r="L125" s="4"/>
    </row>
    <row r="126" spans="1:12" ht="16.5" thickBot="1">
      <c r="A126" s="9" t="s">
        <v>37</v>
      </c>
      <c r="L126" s="18">
        <f>L124</f>
        <v>0</v>
      </c>
    </row>
    <row r="127" spans="1:12">
      <c r="L127" s="4"/>
    </row>
    <row r="128" spans="1:12" ht="15.75">
      <c r="A128" s="9" t="s">
        <v>35</v>
      </c>
      <c r="L128" s="4"/>
    </row>
    <row r="129" spans="1:12">
      <c r="L129" s="4"/>
    </row>
    <row r="130" spans="1:12">
      <c r="L130" s="4"/>
    </row>
    <row r="131" spans="1:12" ht="15.75">
      <c r="A131" s="9" t="s">
        <v>317</v>
      </c>
      <c r="L131" s="4"/>
    </row>
    <row r="132" spans="1:12">
      <c r="L132" s="4"/>
    </row>
    <row r="133" spans="1:12">
      <c r="A133" s="7" t="s">
        <v>23</v>
      </c>
      <c r="B133" s="7" t="s">
        <v>26</v>
      </c>
      <c r="C133" s="7" t="s">
        <v>24</v>
      </c>
      <c r="D133" s="7" t="s">
        <v>25</v>
      </c>
      <c r="F133" s="7" t="s">
        <v>258</v>
      </c>
      <c r="G133" s="7" t="s">
        <v>259</v>
      </c>
      <c r="H133" s="7" t="s">
        <v>260</v>
      </c>
      <c r="I133" s="60" t="s">
        <v>318</v>
      </c>
      <c r="K133" s="60" t="s">
        <v>321</v>
      </c>
      <c r="L133" s="13"/>
    </row>
    <row r="134" spans="1:12">
      <c r="A134" s="71">
        <v>24</v>
      </c>
      <c r="B134" s="7">
        <f>A134*365/12</f>
        <v>730</v>
      </c>
      <c r="C134" s="7">
        <v>6</v>
      </c>
      <c r="D134" s="11">
        <f>B134*C134</f>
        <v>4380</v>
      </c>
      <c r="F134" s="11">
        <f>'User Inputs'!$E$23</f>
        <v>0</v>
      </c>
      <c r="G134" s="11">
        <f>'User Inputs'!$E$27</f>
        <v>0</v>
      </c>
      <c r="H134" s="11">
        <f>(F134*G134)/(3960*0.9)</f>
        <v>0</v>
      </c>
      <c r="I134" s="200">
        <f>H134*0.746</f>
        <v>0</v>
      </c>
      <c r="K134" s="28">
        <f>'Unit Costs'!F55</f>
        <v>0.1027</v>
      </c>
      <c r="L134" s="17">
        <f>D134*I134*K134</f>
        <v>0</v>
      </c>
    </row>
    <row r="135" spans="1:12">
      <c r="A135" s="196"/>
      <c r="B135" s="197"/>
      <c r="C135" s="197"/>
      <c r="D135" s="197"/>
      <c r="E135" s="197"/>
      <c r="F135" s="198"/>
      <c r="G135" s="197"/>
      <c r="H135" s="193"/>
      <c r="I135" s="194"/>
      <c r="K135" s="195"/>
      <c r="L135" s="199"/>
    </row>
    <row r="136" spans="1:12">
      <c r="A136" s="196"/>
      <c r="B136" s="197"/>
      <c r="C136" s="197"/>
      <c r="D136" s="197"/>
      <c r="E136" s="197"/>
      <c r="F136" s="198"/>
      <c r="G136" s="197"/>
      <c r="H136" s="193"/>
      <c r="I136" s="194"/>
      <c r="K136" s="195"/>
      <c r="L136" s="199"/>
    </row>
    <row r="137" spans="1:12" ht="13.5" thickBot="1">
      <c r="L137" s="13"/>
    </row>
    <row r="138" spans="1:12" ht="16.5" thickBot="1">
      <c r="A138" s="9" t="s">
        <v>319</v>
      </c>
      <c r="L138" s="63">
        <f>L134</f>
        <v>0</v>
      </c>
    </row>
    <row r="139" spans="1:12" ht="13.5" thickBot="1">
      <c r="L139" s="4"/>
    </row>
    <row r="140" spans="1:12" ht="16.5" thickBot="1">
      <c r="A140" s="9" t="s">
        <v>38</v>
      </c>
      <c r="L140" s="18">
        <f>L138</f>
        <v>0</v>
      </c>
    </row>
    <row r="141" spans="1:12">
      <c r="L141" s="4"/>
    </row>
    <row r="142" spans="1:12">
      <c r="L142" s="4"/>
    </row>
    <row r="143" spans="1:12">
      <c r="L143" s="4"/>
    </row>
    <row r="144" spans="1:12" ht="15">
      <c r="I144" s="23" t="s">
        <v>41</v>
      </c>
      <c r="J144" s="23" t="s">
        <v>42</v>
      </c>
      <c r="K144" s="23" t="s">
        <v>43</v>
      </c>
      <c r="L144" s="23" t="s">
        <v>6</v>
      </c>
    </row>
    <row r="145" spans="1:12" ht="13.5" thickBot="1">
      <c r="L145" s="4"/>
    </row>
    <row r="146" spans="1:12" ht="18.75" thickBot="1">
      <c r="A146" s="69" t="s">
        <v>370</v>
      </c>
      <c r="I146" s="70">
        <v>0</v>
      </c>
      <c r="J146" s="70">
        <f>L126</f>
        <v>0</v>
      </c>
      <c r="K146" s="70">
        <f>L140</f>
        <v>0</v>
      </c>
      <c r="L146" s="70">
        <f>SUM(I146:K146)</f>
        <v>0</v>
      </c>
    </row>
    <row r="149" spans="1:12" ht="18">
      <c r="A149" s="69" t="s">
        <v>369</v>
      </c>
    </row>
    <row r="150" spans="1:12" ht="13.5" thickBot="1"/>
    <row r="151" spans="1:12" ht="16.5" thickBot="1">
      <c r="A151" s="279">
        <f>'User Inputs'!C11</f>
        <v>0</v>
      </c>
      <c r="B151" s="280"/>
      <c r="C151" s="281"/>
    </row>
    <row r="152" spans="1:12" ht="15.75">
      <c r="A152" s="9"/>
    </row>
    <row r="153" spans="1:12" ht="15.75">
      <c r="A153" s="9" t="s">
        <v>8</v>
      </c>
    </row>
    <row r="154" spans="1:12">
      <c r="A154" s="32" t="s">
        <v>58</v>
      </c>
    </row>
    <row r="155" spans="1:12">
      <c r="A155" s="169" t="s">
        <v>9</v>
      </c>
      <c r="B155" s="141"/>
      <c r="L155" s="8"/>
    </row>
    <row r="156" spans="1:12">
      <c r="A156" s="139" t="s">
        <v>47</v>
      </c>
      <c r="B156" s="140"/>
      <c r="C156" s="141"/>
      <c r="D156" s="11">
        <f>'User Inputs'!F23</f>
        <v>0</v>
      </c>
      <c r="L156" s="8"/>
    </row>
    <row r="157" spans="1:12">
      <c r="A157" s="139" t="s">
        <v>106</v>
      </c>
      <c r="B157" s="140"/>
      <c r="C157" s="141"/>
      <c r="D157" s="11">
        <f>'User Inputs'!F27</f>
        <v>0</v>
      </c>
      <c r="E157" s="2"/>
      <c r="I157" s="2"/>
      <c r="J157" s="2"/>
      <c r="K157" s="2"/>
    </row>
    <row r="158" spans="1:12" ht="13.5" thickBot="1">
      <c r="A158" s="6"/>
      <c r="E158" s="2"/>
      <c r="I158" s="2"/>
      <c r="J158" s="2"/>
      <c r="K158" s="2"/>
    </row>
    <row r="159" spans="1:12">
      <c r="A159" s="6"/>
      <c r="D159" s="60" t="s">
        <v>71</v>
      </c>
      <c r="E159" s="7" t="s">
        <v>109</v>
      </c>
      <c r="I159" s="2"/>
      <c r="L159" s="64" t="s">
        <v>5</v>
      </c>
    </row>
    <row r="160" spans="1:12" ht="13.5" thickBot="1">
      <c r="A160" s="139" t="s">
        <v>80</v>
      </c>
      <c r="B160" s="140"/>
      <c r="C160" s="141"/>
      <c r="D160" s="7">
        <f>'User Inputs'!$E$38</f>
        <v>0</v>
      </c>
      <c r="E160" s="27">
        <f>'User Inputs'!$E$34</f>
        <v>6386</v>
      </c>
      <c r="I160" s="2"/>
      <c r="L160" s="65" t="s">
        <v>105</v>
      </c>
    </row>
    <row r="161" spans="1:12">
      <c r="A161" s="139" t="s">
        <v>81</v>
      </c>
      <c r="B161" s="140"/>
      <c r="C161" s="141"/>
      <c r="D161" s="7">
        <f>'User Inputs'!$F$38</f>
        <v>0</v>
      </c>
      <c r="E161" s="27">
        <f>'User Inputs'!$F$34</f>
        <v>9971</v>
      </c>
    </row>
    <row r="162" spans="1:12">
      <c r="A162" s="139" t="s">
        <v>83</v>
      </c>
      <c r="B162" s="140"/>
      <c r="C162" s="141"/>
      <c r="D162" s="7">
        <f>'User Inputs'!$G$38</f>
        <v>0</v>
      </c>
      <c r="E162" s="27">
        <f>'User Inputs'!$G$34</f>
        <v>4997</v>
      </c>
    </row>
    <row r="163" spans="1:12">
      <c r="A163" s="225" t="s">
        <v>381</v>
      </c>
      <c r="B163" s="140"/>
      <c r="C163" s="141"/>
      <c r="D163" s="7">
        <f>'User Inputs'!$H$38</f>
        <v>0</v>
      </c>
      <c r="E163" s="27">
        <f>'User Inputs'!$H$34</f>
        <v>4209</v>
      </c>
    </row>
    <row r="164" spans="1:12">
      <c r="I164" s="2"/>
      <c r="J164" s="7" t="s">
        <v>103</v>
      </c>
      <c r="K164" s="7" t="s">
        <v>104</v>
      </c>
      <c r="L164" s="8"/>
    </row>
    <row r="165" spans="1:12">
      <c r="A165" s="169" t="s">
        <v>18</v>
      </c>
      <c r="B165" s="140"/>
      <c r="C165" s="140"/>
      <c r="D165" s="140"/>
      <c r="E165" s="140"/>
      <c r="F165" s="140"/>
      <c r="G165" s="140"/>
      <c r="H165" s="140"/>
      <c r="I165" s="170"/>
      <c r="J165" s="7">
        <v>6</v>
      </c>
      <c r="K165" s="27">
        <f>(E160*D160+E161*D161+E162*D162+E163*D163)</f>
        <v>0</v>
      </c>
      <c r="L165" s="17">
        <f>K165*J165</f>
        <v>0</v>
      </c>
    </row>
    <row r="166" spans="1:12">
      <c r="A166" s="1"/>
      <c r="I166" s="8"/>
      <c r="J166" s="2"/>
      <c r="K166" s="36"/>
      <c r="L166" s="16"/>
    </row>
    <row r="167" spans="1:12">
      <c r="A167" s="169" t="s">
        <v>110</v>
      </c>
      <c r="B167" s="140"/>
      <c r="C167" s="140"/>
      <c r="D167" s="140"/>
      <c r="E167" s="140"/>
      <c r="F167" s="140"/>
      <c r="G167" s="140"/>
      <c r="H167" s="140"/>
      <c r="I167" s="140"/>
      <c r="J167" s="86"/>
      <c r="K167" s="171"/>
      <c r="L167" s="17">
        <f>L165*0.1</f>
        <v>0</v>
      </c>
    </row>
    <row r="168" spans="1:12" ht="13.5" thickBot="1">
      <c r="A168" s="1"/>
      <c r="J168" s="2"/>
      <c r="K168" s="36"/>
      <c r="L168" s="16"/>
    </row>
    <row r="169" spans="1:12" ht="13.5" thickBot="1">
      <c r="A169" s="1" t="s">
        <v>86</v>
      </c>
      <c r="J169" s="2"/>
      <c r="K169" s="36"/>
      <c r="L169" s="63">
        <f>SUM(L165:L167)</f>
        <v>0</v>
      </c>
    </row>
    <row r="170" spans="1:12" ht="13.5" thickBot="1">
      <c r="L170" s="4"/>
    </row>
    <row r="171" spans="1:12" ht="16.5" thickBot="1">
      <c r="A171" s="9" t="s">
        <v>37</v>
      </c>
      <c r="L171" s="18">
        <f>L169</f>
        <v>0</v>
      </c>
    </row>
    <row r="172" spans="1:12">
      <c r="L172" s="4"/>
    </row>
    <row r="173" spans="1:12" ht="15.75">
      <c r="A173" s="9" t="s">
        <v>35</v>
      </c>
      <c r="L173" s="4"/>
    </row>
    <row r="174" spans="1:12">
      <c r="L174" s="4"/>
    </row>
    <row r="175" spans="1:12">
      <c r="L175" s="4"/>
    </row>
    <row r="176" spans="1:12" ht="15.75">
      <c r="A176" s="9" t="s">
        <v>317</v>
      </c>
      <c r="L176" s="4"/>
    </row>
    <row r="177" spans="1:12">
      <c r="L177" s="4"/>
    </row>
    <row r="178" spans="1:12">
      <c r="A178" s="7" t="s">
        <v>23</v>
      </c>
      <c r="B178" s="7" t="s">
        <v>26</v>
      </c>
      <c r="C178" s="7" t="s">
        <v>24</v>
      </c>
      <c r="D178" s="7" t="s">
        <v>25</v>
      </c>
      <c r="F178" s="7" t="s">
        <v>258</v>
      </c>
      <c r="G178" s="7" t="s">
        <v>259</v>
      </c>
      <c r="H178" s="7" t="s">
        <v>260</v>
      </c>
      <c r="I178" s="60" t="s">
        <v>318</v>
      </c>
      <c r="K178" s="60" t="s">
        <v>321</v>
      </c>
      <c r="L178" s="13"/>
    </row>
    <row r="179" spans="1:12">
      <c r="A179" s="71">
        <v>24</v>
      </c>
      <c r="B179" s="7">
        <f>A179*365/12</f>
        <v>730</v>
      </c>
      <c r="C179" s="7">
        <v>6</v>
      </c>
      <c r="D179" s="11">
        <f>B179*C179</f>
        <v>4380</v>
      </c>
      <c r="F179" s="11">
        <f>'User Inputs'!$F$23</f>
        <v>0</v>
      </c>
      <c r="G179" s="11">
        <f>'User Inputs'!$F$27</f>
        <v>0</v>
      </c>
      <c r="H179" s="11">
        <f>(F179*G179)/(3960*0.9)</f>
        <v>0</v>
      </c>
      <c r="I179" s="200">
        <f>H179*0.746</f>
        <v>0</v>
      </c>
      <c r="K179" s="28">
        <f>'Unit Costs'!F55</f>
        <v>0.1027</v>
      </c>
      <c r="L179" s="17">
        <f>D179*I179*K179</f>
        <v>0</v>
      </c>
    </row>
    <row r="180" spans="1:12" ht="13.5" thickBot="1">
      <c r="L180" s="13"/>
    </row>
    <row r="181" spans="1:12" ht="16.5" thickBot="1">
      <c r="A181" s="9" t="s">
        <v>319</v>
      </c>
      <c r="L181" s="63">
        <f>L179</f>
        <v>0</v>
      </c>
    </row>
    <row r="182" spans="1:12" ht="13.5" thickBot="1">
      <c r="L182" s="4"/>
    </row>
    <row r="183" spans="1:12" ht="16.5" thickBot="1">
      <c r="A183" s="9" t="s">
        <v>38</v>
      </c>
      <c r="L183" s="18">
        <f>L181</f>
        <v>0</v>
      </c>
    </row>
    <row r="184" spans="1:12">
      <c r="L184" s="4"/>
    </row>
    <row r="185" spans="1:12">
      <c r="L185" s="4"/>
    </row>
    <row r="186" spans="1:12">
      <c r="L186" s="4"/>
    </row>
    <row r="187" spans="1:12" ht="15">
      <c r="I187" s="23" t="s">
        <v>41</v>
      </c>
      <c r="J187" s="23" t="s">
        <v>42</v>
      </c>
      <c r="K187" s="23" t="s">
        <v>43</v>
      </c>
      <c r="L187" s="23" t="s">
        <v>6</v>
      </c>
    </row>
    <row r="188" spans="1:12" ht="13.5" thickBot="1">
      <c r="L188" s="4"/>
    </row>
    <row r="189" spans="1:12" ht="18.75" thickBot="1">
      <c r="A189" s="69" t="s">
        <v>371</v>
      </c>
      <c r="I189" s="70">
        <v>0</v>
      </c>
      <c r="J189" s="70">
        <f>L171</f>
        <v>0</v>
      </c>
      <c r="K189" s="70">
        <f>L183</f>
        <v>0</v>
      </c>
      <c r="L189" s="70">
        <f>SUM(I189:K189)</f>
        <v>0</v>
      </c>
    </row>
    <row r="192" spans="1:12" ht="18">
      <c r="A192" s="69" t="s">
        <v>369</v>
      </c>
    </row>
    <row r="193" spans="1:12" ht="13.5" thickBot="1"/>
    <row r="194" spans="1:12" ht="16.5" thickBot="1">
      <c r="A194" s="279">
        <f>'User Inputs'!C12</f>
        <v>0</v>
      </c>
      <c r="B194" s="280"/>
      <c r="C194" s="281"/>
    </row>
    <row r="195" spans="1:12" ht="15.75">
      <c r="A195" s="9"/>
    </row>
    <row r="196" spans="1:12" ht="15.75">
      <c r="A196" s="9" t="s">
        <v>8</v>
      </c>
    </row>
    <row r="197" spans="1:12">
      <c r="A197" s="32" t="s">
        <v>58</v>
      </c>
    </row>
    <row r="198" spans="1:12">
      <c r="A198" s="169" t="s">
        <v>9</v>
      </c>
      <c r="B198" s="141"/>
      <c r="L198" s="8"/>
    </row>
    <row r="199" spans="1:12">
      <c r="A199" s="139" t="s">
        <v>47</v>
      </c>
      <c r="B199" s="140"/>
      <c r="C199" s="141"/>
      <c r="D199" s="7">
        <f>'User Inputs'!E239</f>
        <v>0</v>
      </c>
      <c r="L199" s="8"/>
    </row>
    <row r="200" spans="1:12">
      <c r="A200" s="139" t="s">
        <v>106</v>
      </c>
      <c r="B200" s="140"/>
      <c r="C200" s="141"/>
      <c r="D200" s="11">
        <f>'User Inputs'!E243</f>
        <v>0</v>
      </c>
      <c r="E200" s="2"/>
      <c r="I200" s="2"/>
      <c r="J200" s="2"/>
      <c r="K200" s="2"/>
    </row>
    <row r="201" spans="1:12" ht="13.5" thickBot="1">
      <c r="A201" s="6"/>
      <c r="E201" s="2"/>
      <c r="I201" s="2"/>
      <c r="J201" s="2"/>
      <c r="K201" s="2"/>
    </row>
    <row r="202" spans="1:12">
      <c r="A202" s="6"/>
      <c r="D202" s="60" t="s">
        <v>71</v>
      </c>
      <c r="E202" s="7" t="s">
        <v>109</v>
      </c>
      <c r="I202" s="2"/>
      <c r="L202" s="64" t="s">
        <v>5</v>
      </c>
    </row>
    <row r="203" spans="1:12" ht="13.5" thickBot="1">
      <c r="A203" s="139" t="s">
        <v>80</v>
      </c>
      <c r="B203" s="140"/>
      <c r="C203" s="141"/>
      <c r="D203" s="7">
        <f>'User Inputs'!$E$39</f>
        <v>0</v>
      </c>
      <c r="E203" s="27">
        <f>'User Inputs'!$E$34</f>
        <v>6386</v>
      </c>
      <c r="I203" s="2"/>
      <c r="L203" s="65" t="s">
        <v>105</v>
      </c>
    </row>
    <row r="204" spans="1:12">
      <c r="A204" s="139" t="s">
        <v>81</v>
      </c>
      <c r="B204" s="140"/>
      <c r="C204" s="141"/>
      <c r="D204" s="7">
        <f>'User Inputs'!$F$39</f>
        <v>0</v>
      </c>
      <c r="E204" s="27">
        <f>'User Inputs'!$F$34</f>
        <v>9971</v>
      </c>
    </row>
    <row r="205" spans="1:12">
      <c r="A205" s="139" t="s">
        <v>83</v>
      </c>
      <c r="B205" s="140"/>
      <c r="C205" s="141"/>
      <c r="D205" s="7">
        <f>'User Inputs'!$G$39</f>
        <v>0</v>
      </c>
      <c r="E205" s="27">
        <f>'User Inputs'!$G$34</f>
        <v>4997</v>
      </c>
    </row>
    <row r="206" spans="1:12">
      <c r="A206" s="225" t="s">
        <v>381</v>
      </c>
      <c r="B206" s="140"/>
      <c r="C206" s="141"/>
      <c r="D206" s="7">
        <f>'User Inputs'!$H$39</f>
        <v>0</v>
      </c>
      <c r="E206" s="27">
        <f>'User Inputs'!$H$34</f>
        <v>4209</v>
      </c>
    </row>
    <row r="207" spans="1:12">
      <c r="I207" s="2"/>
      <c r="J207" s="7" t="s">
        <v>103</v>
      </c>
      <c r="K207" s="7" t="s">
        <v>104</v>
      </c>
      <c r="L207" s="8"/>
    </row>
    <row r="208" spans="1:12">
      <c r="A208" s="169" t="s">
        <v>18</v>
      </c>
      <c r="B208" s="140"/>
      <c r="C208" s="140"/>
      <c r="D208" s="140"/>
      <c r="E208" s="140"/>
      <c r="F208" s="140"/>
      <c r="G208" s="140"/>
      <c r="H208" s="140"/>
      <c r="I208" s="170"/>
      <c r="J208" s="7">
        <v>6</v>
      </c>
      <c r="K208" s="27">
        <f>(E203*D203+E204*D204+E205*D205+E206*D206)</f>
        <v>0</v>
      </c>
      <c r="L208" s="17">
        <f>K208*J208</f>
        <v>0</v>
      </c>
    </row>
    <row r="209" spans="1:12">
      <c r="A209" s="1"/>
      <c r="I209" s="8"/>
      <c r="J209" s="2"/>
      <c r="K209" s="36"/>
      <c r="L209" s="16"/>
    </row>
    <row r="210" spans="1:12">
      <c r="A210" s="169" t="s">
        <v>110</v>
      </c>
      <c r="B210" s="140"/>
      <c r="C210" s="140"/>
      <c r="D210" s="140"/>
      <c r="E210" s="140"/>
      <c r="F210" s="140"/>
      <c r="G210" s="140"/>
      <c r="H210" s="140"/>
      <c r="I210" s="140"/>
      <c r="J210" s="86"/>
      <c r="K210" s="171"/>
      <c r="L210" s="17">
        <f>L208*0.1</f>
        <v>0</v>
      </c>
    </row>
    <row r="211" spans="1:12" ht="13.5" thickBot="1">
      <c r="A211" s="1"/>
      <c r="J211" s="2"/>
      <c r="K211" s="36"/>
      <c r="L211" s="16"/>
    </row>
    <row r="212" spans="1:12" ht="13.5" thickBot="1">
      <c r="A212" s="1" t="s">
        <v>86</v>
      </c>
      <c r="J212" s="2"/>
      <c r="K212" s="36"/>
      <c r="L212" s="63">
        <f>SUM(L208:L210)</f>
        <v>0</v>
      </c>
    </row>
    <row r="213" spans="1:12" ht="13.5" thickBot="1">
      <c r="L213" s="4"/>
    </row>
    <row r="214" spans="1:12" ht="16.5" thickBot="1">
      <c r="A214" s="9" t="s">
        <v>37</v>
      </c>
      <c r="L214" s="18">
        <f>L212</f>
        <v>0</v>
      </c>
    </row>
    <row r="215" spans="1:12">
      <c r="L215" s="4"/>
    </row>
    <row r="216" spans="1:12" ht="15.75">
      <c r="A216" s="9" t="s">
        <v>35</v>
      </c>
      <c r="L216" s="4"/>
    </row>
    <row r="217" spans="1:12">
      <c r="L217" s="4"/>
    </row>
    <row r="218" spans="1:12">
      <c r="L218" s="4"/>
    </row>
    <row r="219" spans="1:12" ht="15.75">
      <c r="A219" s="9" t="s">
        <v>317</v>
      </c>
      <c r="L219" s="4"/>
    </row>
    <row r="220" spans="1:12">
      <c r="L220" s="4"/>
    </row>
    <row r="221" spans="1:12">
      <c r="A221" s="7" t="s">
        <v>23</v>
      </c>
      <c r="B221" s="7" t="s">
        <v>26</v>
      </c>
      <c r="C221" s="7" t="s">
        <v>24</v>
      </c>
      <c r="D221" s="7" t="s">
        <v>25</v>
      </c>
      <c r="F221" s="7" t="s">
        <v>258</v>
      </c>
      <c r="G221" s="7" t="s">
        <v>259</v>
      </c>
      <c r="H221" s="7" t="s">
        <v>260</v>
      </c>
      <c r="I221" s="60" t="s">
        <v>318</v>
      </c>
      <c r="K221" s="60" t="s">
        <v>321</v>
      </c>
      <c r="L221" s="13"/>
    </row>
    <row r="222" spans="1:12">
      <c r="A222" s="71">
        <v>24</v>
      </c>
      <c r="B222" s="7">
        <f>A222*365/12</f>
        <v>730</v>
      </c>
      <c r="C222" s="7">
        <v>6</v>
      </c>
      <c r="D222" s="11">
        <f>B222*C222</f>
        <v>4380</v>
      </c>
      <c r="F222" s="11">
        <f>'User Inputs'!$G$23</f>
        <v>0</v>
      </c>
      <c r="G222" s="11">
        <f>'User Inputs'!$G$27</f>
        <v>0</v>
      </c>
      <c r="H222" s="11">
        <f>(F222*G222)/(3960*0.9)</f>
        <v>0</v>
      </c>
      <c r="I222" s="200">
        <f>H222*0.746</f>
        <v>0</v>
      </c>
      <c r="K222" s="28">
        <f>'Unit Costs'!F55</f>
        <v>0.1027</v>
      </c>
      <c r="L222" s="17">
        <f>D222*I222*K222</f>
        <v>0</v>
      </c>
    </row>
    <row r="223" spans="1:12" ht="13.5" thickBot="1">
      <c r="L223" s="13"/>
    </row>
    <row r="224" spans="1:12" ht="16.5" thickBot="1">
      <c r="A224" s="9" t="s">
        <v>319</v>
      </c>
      <c r="L224" s="63">
        <f>L222</f>
        <v>0</v>
      </c>
    </row>
    <row r="225" spans="1:12" ht="13.5" thickBot="1">
      <c r="L225" s="4"/>
    </row>
    <row r="226" spans="1:12" ht="16.5" thickBot="1">
      <c r="A226" s="9" t="s">
        <v>38</v>
      </c>
      <c r="L226" s="18">
        <f>L224</f>
        <v>0</v>
      </c>
    </row>
    <row r="227" spans="1:12">
      <c r="L227" s="4"/>
    </row>
    <row r="228" spans="1:12">
      <c r="L228" s="4"/>
    </row>
    <row r="229" spans="1:12">
      <c r="L229" s="4"/>
    </row>
    <row r="230" spans="1:12" ht="15">
      <c r="I230" s="23" t="s">
        <v>41</v>
      </c>
      <c r="J230" s="23" t="s">
        <v>42</v>
      </c>
      <c r="K230" s="23" t="s">
        <v>43</v>
      </c>
      <c r="L230" s="23" t="s">
        <v>6</v>
      </c>
    </row>
    <row r="231" spans="1:12" ht="13.5" thickBot="1">
      <c r="L231" s="4"/>
    </row>
    <row r="232" spans="1:12" ht="18.75" thickBot="1">
      <c r="A232" s="69" t="s">
        <v>372</v>
      </c>
      <c r="I232" s="70">
        <v>0</v>
      </c>
      <c r="J232" s="70">
        <f>L214</f>
        <v>0</v>
      </c>
      <c r="K232" s="70">
        <f>L226</f>
        <v>0</v>
      </c>
      <c r="L232" s="70">
        <f>SUM(I232:K232)</f>
        <v>0</v>
      </c>
    </row>
    <row r="235" spans="1:12" ht="18">
      <c r="A235" s="69" t="s">
        <v>369</v>
      </c>
    </row>
    <row r="236" spans="1:12" ht="13.5" thickBot="1"/>
    <row r="237" spans="1:12" ht="16.5" thickBot="1">
      <c r="A237" s="279">
        <f>'User Inputs'!C13</f>
        <v>0</v>
      </c>
      <c r="B237" s="280"/>
      <c r="C237" s="281"/>
    </row>
    <row r="238" spans="1:12" ht="15.75">
      <c r="A238" s="9"/>
    </row>
    <row r="239" spans="1:12" ht="15.75">
      <c r="A239" s="9" t="s">
        <v>8</v>
      </c>
    </row>
    <row r="240" spans="1:12">
      <c r="A240" s="32" t="s">
        <v>58</v>
      </c>
    </row>
    <row r="241" spans="1:12">
      <c r="A241" s="169" t="s">
        <v>9</v>
      </c>
      <c r="B241" s="141"/>
      <c r="L241" s="8"/>
    </row>
    <row r="242" spans="1:12">
      <c r="A242" s="139" t="s">
        <v>47</v>
      </c>
      <c r="B242" s="140"/>
      <c r="C242" s="141"/>
      <c r="D242" s="7">
        <f>'User Inputs'!E285</f>
        <v>0</v>
      </c>
      <c r="L242" s="8"/>
    </row>
    <row r="243" spans="1:12">
      <c r="A243" s="139" t="s">
        <v>106</v>
      </c>
      <c r="B243" s="140"/>
      <c r="C243" s="141"/>
      <c r="D243" s="11">
        <f>'User Inputs'!E289</f>
        <v>0</v>
      </c>
      <c r="E243" s="2"/>
      <c r="I243" s="2"/>
      <c r="J243" s="2"/>
      <c r="K243" s="2"/>
    </row>
    <row r="244" spans="1:12" ht="13.5" thickBot="1">
      <c r="A244" s="6"/>
      <c r="E244" s="2"/>
      <c r="I244" s="2"/>
      <c r="J244" s="2"/>
      <c r="K244" s="2"/>
    </row>
    <row r="245" spans="1:12">
      <c r="A245" s="6"/>
      <c r="D245" s="60" t="s">
        <v>71</v>
      </c>
      <c r="E245" s="7" t="s">
        <v>109</v>
      </c>
      <c r="I245" s="2"/>
      <c r="L245" s="64" t="s">
        <v>5</v>
      </c>
    </row>
    <row r="246" spans="1:12" ht="13.5" thickBot="1">
      <c r="A246" s="139" t="s">
        <v>80</v>
      </c>
      <c r="B246" s="140"/>
      <c r="C246" s="141"/>
      <c r="D246" s="7">
        <f>'User Inputs'!$E$40</f>
        <v>0</v>
      </c>
      <c r="E246" s="27">
        <f>'User Inputs'!$E$34</f>
        <v>6386</v>
      </c>
      <c r="I246" s="2"/>
      <c r="L246" s="65" t="s">
        <v>105</v>
      </c>
    </row>
    <row r="247" spans="1:12">
      <c r="A247" s="139" t="s">
        <v>81</v>
      </c>
      <c r="B247" s="140"/>
      <c r="C247" s="141"/>
      <c r="D247" s="7">
        <f>'User Inputs'!$F$40</f>
        <v>0</v>
      </c>
      <c r="E247" s="27">
        <f>'User Inputs'!$F$34</f>
        <v>9971</v>
      </c>
    </row>
    <row r="248" spans="1:12">
      <c r="A248" s="139" t="s">
        <v>83</v>
      </c>
      <c r="B248" s="140"/>
      <c r="C248" s="141"/>
      <c r="D248" s="7">
        <f>'User Inputs'!$G$40</f>
        <v>0</v>
      </c>
      <c r="E248" s="27">
        <f>'User Inputs'!$G$34</f>
        <v>4997</v>
      </c>
    </row>
    <row r="249" spans="1:12">
      <c r="A249" s="225" t="s">
        <v>381</v>
      </c>
      <c r="B249" s="140"/>
      <c r="C249" s="141"/>
      <c r="D249" s="7">
        <f>'User Inputs'!$H$40</f>
        <v>0</v>
      </c>
      <c r="E249" s="27">
        <f>'User Inputs'!$H$34</f>
        <v>4209</v>
      </c>
    </row>
    <row r="250" spans="1:12">
      <c r="I250" s="2"/>
      <c r="J250" s="7" t="s">
        <v>103</v>
      </c>
      <c r="K250" s="7" t="s">
        <v>104</v>
      </c>
      <c r="L250" s="8"/>
    </row>
    <row r="251" spans="1:12">
      <c r="A251" s="169" t="s">
        <v>18</v>
      </c>
      <c r="B251" s="140"/>
      <c r="C251" s="140"/>
      <c r="D251" s="140"/>
      <c r="E251" s="140"/>
      <c r="F251" s="140"/>
      <c r="G251" s="140"/>
      <c r="H251" s="140"/>
      <c r="I251" s="170"/>
      <c r="J251" s="7">
        <v>6</v>
      </c>
      <c r="K251" s="27">
        <f>(E246*D246+E247*D247+E248*D248+E249*D249)</f>
        <v>0</v>
      </c>
      <c r="L251" s="17">
        <f>K251*J251</f>
        <v>0</v>
      </c>
    </row>
    <row r="252" spans="1:12">
      <c r="A252" s="1"/>
      <c r="I252" s="8"/>
      <c r="J252" s="2"/>
      <c r="K252" s="36"/>
      <c r="L252" s="16"/>
    </row>
    <row r="253" spans="1:12">
      <c r="A253" s="169" t="s">
        <v>110</v>
      </c>
      <c r="B253" s="140"/>
      <c r="C253" s="140"/>
      <c r="D253" s="140"/>
      <c r="E253" s="140"/>
      <c r="F253" s="140"/>
      <c r="G253" s="140"/>
      <c r="H253" s="140"/>
      <c r="I253" s="140"/>
      <c r="J253" s="86"/>
      <c r="K253" s="171"/>
      <c r="L253" s="17">
        <f>L251*0.1</f>
        <v>0</v>
      </c>
    </row>
    <row r="254" spans="1:12" ht="13.5" thickBot="1">
      <c r="A254" s="1"/>
      <c r="J254" s="2"/>
      <c r="K254" s="36"/>
      <c r="L254" s="16"/>
    </row>
    <row r="255" spans="1:12" ht="13.5" thickBot="1">
      <c r="A255" s="1" t="s">
        <v>86</v>
      </c>
      <c r="J255" s="2"/>
      <c r="K255" s="36"/>
      <c r="L255" s="63">
        <f>SUM(L251:L253)</f>
        <v>0</v>
      </c>
    </row>
    <row r="256" spans="1:12" ht="13.5" thickBot="1">
      <c r="L256" s="4"/>
    </row>
    <row r="257" spans="1:12" ht="16.5" thickBot="1">
      <c r="A257" s="9" t="s">
        <v>37</v>
      </c>
      <c r="L257" s="18">
        <f>L255</f>
        <v>0</v>
      </c>
    </row>
    <row r="258" spans="1:12">
      <c r="L258" s="4"/>
    </row>
    <row r="259" spans="1:12" ht="15.75">
      <c r="A259" s="9" t="s">
        <v>35</v>
      </c>
      <c r="L259" s="4"/>
    </row>
    <row r="260" spans="1:12">
      <c r="L260" s="4"/>
    </row>
    <row r="261" spans="1:12">
      <c r="L261" s="4"/>
    </row>
    <row r="262" spans="1:12" ht="15.75">
      <c r="A262" s="9" t="s">
        <v>317</v>
      </c>
      <c r="L262" s="4"/>
    </row>
    <row r="263" spans="1:12">
      <c r="L263" s="4"/>
    </row>
    <row r="264" spans="1:12">
      <c r="A264" s="7" t="s">
        <v>23</v>
      </c>
      <c r="B264" s="7" t="s">
        <v>26</v>
      </c>
      <c r="C264" s="7" t="s">
        <v>24</v>
      </c>
      <c r="D264" s="7" t="s">
        <v>25</v>
      </c>
      <c r="F264" s="7" t="s">
        <v>258</v>
      </c>
      <c r="G264" s="7" t="s">
        <v>259</v>
      </c>
      <c r="H264" s="7" t="s">
        <v>260</v>
      </c>
      <c r="I264" s="60" t="s">
        <v>318</v>
      </c>
      <c r="K264" s="60" t="s">
        <v>321</v>
      </c>
      <c r="L264" s="13"/>
    </row>
    <row r="265" spans="1:12">
      <c r="A265" s="71">
        <v>24</v>
      </c>
      <c r="B265" s="7">
        <f>A265*365/12</f>
        <v>730</v>
      </c>
      <c r="C265" s="7">
        <v>6</v>
      </c>
      <c r="D265" s="11">
        <f>B265*C265</f>
        <v>4380</v>
      </c>
      <c r="F265" s="11">
        <f>'User Inputs'!$H$23</f>
        <v>0</v>
      </c>
      <c r="G265" s="11">
        <f>'User Inputs'!$H$27</f>
        <v>0</v>
      </c>
      <c r="H265" s="11">
        <f>(F265*G265)/(3960*0.9)</f>
        <v>0</v>
      </c>
      <c r="I265" s="200">
        <f>H265*0.746</f>
        <v>0</v>
      </c>
      <c r="K265" s="28">
        <f>'Unit Costs'!F55</f>
        <v>0.1027</v>
      </c>
      <c r="L265" s="17">
        <f>D265*I265*K265</f>
        <v>0</v>
      </c>
    </row>
    <row r="266" spans="1:12" ht="13.5" thickBot="1">
      <c r="L266" s="13"/>
    </row>
    <row r="267" spans="1:12" ht="16.5" thickBot="1">
      <c r="A267" s="9" t="s">
        <v>319</v>
      </c>
      <c r="L267" s="63">
        <f>L265</f>
        <v>0</v>
      </c>
    </row>
    <row r="268" spans="1:12" ht="13.5" thickBot="1">
      <c r="L268" s="4"/>
    </row>
    <row r="269" spans="1:12" ht="16.5" thickBot="1">
      <c r="A269" s="9" t="s">
        <v>38</v>
      </c>
      <c r="L269" s="18">
        <f>L267</f>
        <v>0</v>
      </c>
    </row>
    <row r="270" spans="1:12">
      <c r="L270" s="4"/>
    </row>
    <row r="271" spans="1:12">
      <c r="L271" s="4"/>
    </row>
    <row r="272" spans="1:12">
      <c r="L272" s="4"/>
    </row>
    <row r="273" spans="1:12" ht="15">
      <c r="I273" s="23" t="s">
        <v>41</v>
      </c>
      <c r="J273" s="23" t="s">
        <v>42</v>
      </c>
      <c r="K273" s="23" t="s">
        <v>43</v>
      </c>
      <c r="L273" s="23" t="s">
        <v>6</v>
      </c>
    </row>
    <row r="274" spans="1:12" ht="13.5" thickBot="1">
      <c r="L274" s="4"/>
    </row>
    <row r="275" spans="1:12" ht="18.75" thickBot="1">
      <c r="A275" s="69" t="s">
        <v>373</v>
      </c>
      <c r="I275" s="70">
        <v>0</v>
      </c>
      <c r="J275" s="70">
        <f>L257</f>
        <v>0</v>
      </c>
      <c r="K275" s="70">
        <f>L269</f>
        <v>0</v>
      </c>
      <c r="L275" s="70">
        <f>SUM(I275:K275)</f>
        <v>0</v>
      </c>
    </row>
    <row r="277" spans="1:12" ht="13.5" thickBot="1">
      <c r="L277" s="4"/>
    </row>
    <row r="278" spans="1:12" ht="18.75" thickBot="1">
      <c r="A278" s="69" t="s">
        <v>374</v>
      </c>
      <c r="I278" s="70">
        <v>0</v>
      </c>
      <c r="J278" s="70">
        <f>J146+J189+J232+J275</f>
        <v>0</v>
      </c>
      <c r="K278" s="70">
        <f>K146+K189+K232+K275</f>
        <v>0</v>
      </c>
      <c r="L278" s="70">
        <f>SUM(I278:K278)</f>
        <v>0</v>
      </c>
    </row>
    <row r="287" spans="1:12" ht="18">
      <c r="E287" s="261" t="s">
        <v>223</v>
      </c>
      <c r="F287" s="261"/>
      <c r="G287" s="261"/>
      <c r="H287" s="261"/>
      <c r="I287" s="261"/>
      <c r="J287" s="261"/>
      <c r="K287" s="261"/>
      <c r="L287" s="261"/>
    </row>
    <row r="288" spans="1:12" ht="18">
      <c r="E288" s="173"/>
      <c r="F288" s="173"/>
      <c r="G288" s="173"/>
      <c r="H288" s="173"/>
      <c r="I288" s="173"/>
      <c r="J288" s="173"/>
      <c r="K288" s="173"/>
      <c r="L288" s="173"/>
    </row>
    <row r="290" spans="5:12" ht="15">
      <c r="H290" s="23" t="s">
        <v>41</v>
      </c>
      <c r="I290" s="23" t="s">
        <v>42</v>
      </c>
      <c r="J290" s="23" t="s">
        <v>43</v>
      </c>
      <c r="K290" s="19"/>
      <c r="L290" s="23" t="s">
        <v>105</v>
      </c>
    </row>
    <row r="291" spans="5:12" ht="13.5" thickBot="1"/>
    <row r="292" spans="5:12" ht="18.75" thickBot="1">
      <c r="E292" s="69" t="s">
        <v>220</v>
      </c>
      <c r="H292" s="70">
        <f>I101</f>
        <v>1165418.9306999999</v>
      </c>
      <c r="I292" s="70">
        <f>J101</f>
        <v>140397.72941176471</v>
      </c>
      <c r="J292" s="70">
        <f>K101</f>
        <v>136000</v>
      </c>
      <c r="K292" s="4"/>
      <c r="L292" s="70">
        <f>SUM(H292:J292)</f>
        <v>1441816.6601117647</v>
      </c>
    </row>
    <row r="293" spans="5:12" ht="18.75" thickBot="1">
      <c r="E293" s="69" t="s">
        <v>221</v>
      </c>
      <c r="H293" s="172"/>
      <c r="I293" s="172"/>
      <c r="J293" s="172"/>
      <c r="K293" s="4"/>
    </row>
    <row r="294" spans="5:12" ht="18.75" thickBot="1">
      <c r="E294" s="69" t="s">
        <v>340</v>
      </c>
      <c r="H294" s="70">
        <f>I146</f>
        <v>0</v>
      </c>
      <c r="I294" s="70">
        <f>J146</f>
        <v>0</v>
      </c>
      <c r="J294" s="70">
        <f>K146</f>
        <v>0</v>
      </c>
      <c r="K294" s="4"/>
      <c r="L294" s="70">
        <f>SUM(H294:J294)</f>
        <v>0</v>
      </c>
    </row>
    <row r="295" spans="5:12" ht="18.75" thickBot="1">
      <c r="E295" s="69" t="s">
        <v>341</v>
      </c>
      <c r="H295" s="70">
        <f>I189</f>
        <v>0</v>
      </c>
      <c r="I295" s="70">
        <f>J189</f>
        <v>0</v>
      </c>
      <c r="J295" s="70">
        <f>K189</f>
        <v>0</v>
      </c>
      <c r="K295" s="4"/>
      <c r="L295" s="70">
        <f>SUM(H295:J295)</f>
        <v>0</v>
      </c>
    </row>
    <row r="296" spans="5:12" ht="18.75" thickBot="1">
      <c r="E296" s="69" t="s">
        <v>342</v>
      </c>
      <c r="H296" s="70">
        <f>I232</f>
        <v>0</v>
      </c>
      <c r="I296" s="70">
        <f>J232</f>
        <v>0</v>
      </c>
      <c r="J296" s="70">
        <f>K232</f>
        <v>0</v>
      </c>
      <c r="K296" s="4"/>
      <c r="L296" s="70">
        <f>SUM(H296:J296)</f>
        <v>0</v>
      </c>
    </row>
    <row r="297" spans="5:12" ht="18.75" thickBot="1">
      <c r="E297" s="69" t="s">
        <v>343</v>
      </c>
      <c r="H297" s="70">
        <f>I275</f>
        <v>0</v>
      </c>
      <c r="I297" s="70">
        <f>J275</f>
        <v>0</v>
      </c>
      <c r="J297" s="70">
        <f>K275</f>
        <v>0</v>
      </c>
      <c r="K297" s="4"/>
      <c r="L297" s="70">
        <f>SUM(H297:J297)</f>
        <v>0</v>
      </c>
    </row>
    <row r="298" spans="5:12" ht="13.5" thickBot="1"/>
    <row r="299" spans="5:12" ht="18.75" thickBot="1">
      <c r="E299" s="69" t="s">
        <v>327</v>
      </c>
      <c r="J299" s="70">
        <f>(SUM(J294:J297)/3)*(0.08)*(7/12)*1.15</f>
        <v>0</v>
      </c>
    </row>
    <row r="300" spans="5:12" ht="13.5" thickBot="1"/>
    <row r="301" spans="5:12" ht="18.75" thickBot="1">
      <c r="E301" s="69" t="s">
        <v>222</v>
      </c>
      <c r="H301" s="70">
        <f>SUM(H292:H297)</f>
        <v>1165418.9306999999</v>
      </c>
      <c r="I301" s="70">
        <f>SUM(I292:I297)</f>
        <v>140397.72941176471</v>
      </c>
      <c r="J301" s="70">
        <f>SUM(J292:J299)</f>
        <v>136000</v>
      </c>
      <c r="K301" s="4"/>
      <c r="L301" s="70">
        <f>SUM(H301:J301)</f>
        <v>1441816.6601117647</v>
      </c>
    </row>
    <row r="303" spans="5:12" ht="7.5" customHeight="1"/>
    <row r="304" spans="5:12" ht="10.5" hidden="1" customHeight="1"/>
    <row r="305" spans="1:12" hidden="1"/>
    <row r="306" spans="1:12" ht="93.75" customHeight="1">
      <c r="A306" s="274" t="s">
        <v>414</v>
      </c>
      <c r="B306" s="275"/>
      <c r="C306" s="275"/>
      <c r="D306" s="275"/>
      <c r="E306" s="275"/>
      <c r="F306" s="275"/>
      <c r="G306" s="275"/>
      <c r="H306" s="275"/>
      <c r="I306" s="275"/>
      <c r="J306" s="275"/>
      <c r="K306" s="275"/>
      <c r="L306" s="275"/>
    </row>
    <row r="307" spans="1:12">
      <c r="A307" s="46"/>
    </row>
    <row r="308" spans="1:12">
      <c r="L308" s="4"/>
    </row>
  </sheetData>
  <sheetProtection algorithmName="SHA-512" hashValue="awiz6LbIMQ2aOLIt1uI905P1OktgOJ2GVb1OPP3M0HTv4AuYS1FdgA5wb0eTWWE1RDG6+tv8Vr2HyTxL8fRp1w==" saltValue="kHFdSpe4QA1ZI1EgKy5OaQ==" spinCount="100000" sheet="1" objects="1" scenarios="1"/>
  <mergeCells count="8">
    <mergeCell ref="A306:L306"/>
    <mergeCell ref="E287:L287"/>
    <mergeCell ref="F30:G30"/>
    <mergeCell ref="G25:H25"/>
    <mergeCell ref="A106:C106"/>
    <mergeCell ref="A151:C151"/>
    <mergeCell ref="A194:C194"/>
    <mergeCell ref="A237:C237"/>
  </mergeCells>
  <phoneticPr fontId="2" type="noConversion"/>
  <pageMargins left="0.75" right="0.75" top="1" bottom="1" header="0.5" footer="0.5"/>
  <pageSetup scale="62" orientation="landscape" r:id="rId1"/>
  <headerFooter alignWithMargins="0">
    <oddHeader>&amp;C&amp;"Arial,Bold"&amp;16SIX-MONTH  
INTERIM FLUID MANAGEMENT
&amp;R&amp;D</oddHeader>
    <oddFooter>&amp;L&amp;F&amp;C&amp;A&amp;RPage &amp;P of &amp;N</oddFooter>
  </headerFooter>
  <rowBreaks count="6" manualBreakCount="6">
    <brk id="51" max="12" man="1"/>
    <brk id="101" max="12" man="1"/>
    <brk id="147" max="12" man="1"/>
    <brk id="190" max="12" man="1"/>
    <brk id="233" max="12" man="1"/>
    <brk id="28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2:M277"/>
  <sheetViews>
    <sheetView zoomScaleNormal="100" workbookViewId="0">
      <selection activeCell="D5" sqref="D5"/>
    </sheetView>
  </sheetViews>
  <sheetFormatPr defaultRowHeight="12.75"/>
  <cols>
    <col min="1" max="1" width="11.5703125" customWidth="1"/>
    <col min="2" max="2" width="10" customWidth="1"/>
    <col min="3" max="3" width="12.7109375" bestFit="1" customWidth="1"/>
    <col min="4" max="4" width="9.7109375" bestFit="1" customWidth="1"/>
    <col min="5" max="5" width="17.140625" customWidth="1"/>
    <col min="6" max="6" width="12.42578125" bestFit="1" customWidth="1"/>
    <col min="7" max="7" width="12.5703125" customWidth="1"/>
    <col min="8" max="9" width="13" bestFit="1" customWidth="1"/>
    <col min="10" max="10" width="14.140625" bestFit="1" customWidth="1"/>
    <col min="11" max="11" width="13.5703125" bestFit="1" customWidth="1"/>
    <col min="12" max="12" width="13.28515625" bestFit="1" customWidth="1"/>
    <col min="13" max="13" width="14.7109375" bestFit="1" customWidth="1"/>
  </cols>
  <sheetData>
    <row r="2" spans="1:13" ht="18">
      <c r="A2" s="69" t="s">
        <v>368</v>
      </c>
    </row>
    <row r="3" spans="1:13">
      <c r="A3" s="32" t="s">
        <v>58</v>
      </c>
    </row>
    <row r="4" spans="1:13">
      <c r="F4" s="1"/>
      <c r="M4" s="5"/>
    </row>
    <row r="5" spans="1:13" ht="15.75">
      <c r="A5" s="9" t="s">
        <v>7</v>
      </c>
      <c r="F5" s="1"/>
      <c r="M5" s="5"/>
    </row>
    <row r="7" spans="1:13">
      <c r="A7" s="6" t="s">
        <v>248</v>
      </c>
      <c r="D7" s="96" t="e">
        <f>'User Inputs'!I46</f>
        <v>#NUM!</v>
      </c>
      <c r="M7" s="5"/>
    </row>
    <row r="8" spans="1:13" ht="13.5" thickBot="1">
      <c r="A8" s="6"/>
      <c r="D8" s="157"/>
      <c r="M8" s="5"/>
    </row>
    <row r="9" spans="1:13" ht="13.5" thickBot="1">
      <c r="M9" s="68" t="s">
        <v>105</v>
      </c>
    </row>
    <row r="10" spans="1:13">
      <c r="A10" s="1" t="s">
        <v>188</v>
      </c>
      <c r="D10" s="7" t="s">
        <v>91</v>
      </c>
      <c r="E10" s="7" t="s">
        <v>92</v>
      </c>
      <c r="F10" s="7" t="s">
        <v>93</v>
      </c>
      <c r="G10" s="7" t="s">
        <v>94</v>
      </c>
      <c r="H10" s="7" t="s">
        <v>95</v>
      </c>
      <c r="I10" s="7" t="s">
        <v>96</v>
      </c>
      <c r="J10" s="7" t="s">
        <v>97</v>
      </c>
      <c r="K10" s="7" t="s">
        <v>99</v>
      </c>
    </row>
    <row r="11" spans="1:13">
      <c r="A11" t="s">
        <v>0</v>
      </c>
      <c r="D11" s="7">
        <v>2</v>
      </c>
      <c r="E11" s="7">
        <v>12</v>
      </c>
      <c r="F11" s="7">
        <v>2</v>
      </c>
      <c r="G11" s="7">
        <v>7</v>
      </c>
      <c r="H11" s="7">
        <f>D11*E11*F11*G11</f>
        <v>336</v>
      </c>
      <c r="I11" s="59">
        <f>H11*52/12</f>
        <v>1456</v>
      </c>
      <c r="J11" s="11" t="e">
        <f>I11*$D$7</f>
        <v>#NUM!</v>
      </c>
      <c r="K11" s="57">
        <f>'IFM '!K9</f>
        <v>61.332250000000002</v>
      </c>
      <c r="L11" s="2"/>
      <c r="M11" s="53" t="e">
        <f>K11*J11</f>
        <v>#NUM!</v>
      </c>
    </row>
    <row r="12" spans="1:13">
      <c r="A12" t="s">
        <v>199</v>
      </c>
      <c r="D12" s="7">
        <v>1</v>
      </c>
      <c r="E12" s="7">
        <v>12</v>
      </c>
      <c r="F12" s="7">
        <v>2</v>
      </c>
      <c r="G12" s="7">
        <v>7</v>
      </c>
      <c r="H12" s="7">
        <f>D12*E12*F12*G12</f>
        <v>168</v>
      </c>
      <c r="I12" s="59">
        <f>H12*52/12</f>
        <v>728</v>
      </c>
      <c r="J12" s="11" t="e">
        <f>I12*$D$7</f>
        <v>#NUM!</v>
      </c>
      <c r="K12" s="57">
        <f>'IFM '!K10</f>
        <v>61.028624999999998</v>
      </c>
      <c r="L12" s="2"/>
      <c r="M12" s="53" t="e">
        <f>K12*J12</f>
        <v>#NUM!</v>
      </c>
    </row>
    <row r="13" spans="1:13">
      <c r="A13" t="s">
        <v>2</v>
      </c>
      <c r="D13" s="7">
        <v>1</v>
      </c>
      <c r="E13" s="7">
        <v>8</v>
      </c>
      <c r="F13" s="7">
        <v>1</v>
      </c>
      <c r="G13" s="7">
        <v>5</v>
      </c>
      <c r="H13" s="7">
        <f>D13*E13*F13*G13</f>
        <v>40</v>
      </c>
      <c r="I13" s="59">
        <f>H13*52/12</f>
        <v>173.33333333333334</v>
      </c>
      <c r="J13" s="11" t="e">
        <f>I13*$D$7</f>
        <v>#NUM!</v>
      </c>
      <c r="K13" s="57">
        <f>'IFM '!K11</f>
        <v>86.885329999999982</v>
      </c>
      <c r="L13" s="2"/>
      <c r="M13" s="53" t="e">
        <f>K13*J13</f>
        <v>#NUM!</v>
      </c>
    </row>
    <row r="14" spans="1:13">
      <c r="A14" t="s">
        <v>4</v>
      </c>
      <c r="D14" s="7">
        <v>1</v>
      </c>
      <c r="E14" s="7">
        <v>8</v>
      </c>
      <c r="F14" s="7">
        <v>1</v>
      </c>
      <c r="G14" s="7">
        <f>IF('User Inputs'!$E$81="yes",2.5,5)</f>
        <v>5</v>
      </c>
      <c r="H14" s="7">
        <f>D14*E14*F14*G14</f>
        <v>40</v>
      </c>
      <c r="I14" s="59">
        <f>H14*52/12</f>
        <v>173.33333333333334</v>
      </c>
      <c r="J14" s="11" t="e">
        <f>I14*$D$7</f>
        <v>#NUM!</v>
      </c>
      <c r="K14" s="57">
        <f>'IFM '!K12</f>
        <v>81.295593749999981</v>
      </c>
      <c r="L14" s="2"/>
      <c r="M14" s="53" t="e">
        <f>K14*J14</f>
        <v>#NUM!</v>
      </c>
    </row>
    <row r="15" spans="1:13" ht="13.5" thickBot="1">
      <c r="I15" s="10"/>
      <c r="K15" s="3"/>
      <c r="M15" s="13"/>
    </row>
    <row r="16" spans="1:13" ht="16.5" thickBot="1">
      <c r="A16" s="9" t="s">
        <v>36</v>
      </c>
      <c r="I16" s="10"/>
      <c r="M16" s="62" t="e">
        <f>SUM(M11:M14)</f>
        <v>#NUM!</v>
      </c>
    </row>
    <row r="17" spans="1:13" ht="15.75">
      <c r="A17" s="9"/>
      <c r="I17" s="10"/>
      <c r="M17" s="93"/>
    </row>
    <row r="18" spans="1:13" ht="15.75">
      <c r="A18" s="9" t="s">
        <v>8</v>
      </c>
      <c r="D18" s="2"/>
      <c r="E18" s="2"/>
      <c r="F18" s="2"/>
      <c r="G18" s="2"/>
      <c r="M18" s="15"/>
    </row>
    <row r="19" spans="1:13">
      <c r="H19" s="7" t="s">
        <v>276</v>
      </c>
      <c r="I19" s="7" t="s">
        <v>270</v>
      </c>
      <c r="J19" s="192" t="s">
        <v>272</v>
      </c>
      <c r="K19" s="7" t="s">
        <v>108</v>
      </c>
      <c r="M19" s="8"/>
    </row>
    <row r="20" spans="1:13">
      <c r="A20" s="1" t="s">
        <v>16</v>
      </c>
      <c r="F20" s="7" t="s">
        <v>102</v>
      </c>
      <c r="G20" s="79" t="s">
        <v>103</v>
      </c>
      <c r="H20" s="7" t="s">
        <v>273</v>
      </c>
      <c r="I20" s="7" t="s">
        <v>274</v>
      </c>
      <c r="J20" s="7" t="s">
        <v>275</v>
      </c>
      <c r="K20" s="7" t="s">
        <v>273</v>
      </c>
      <c r="M20" s="8"/>
    </row>
    <row r="21" spans="1:13">
      <c r="A21" t="s">
        <v>10</v>
      </c>
      <c r="F21" s="7">
        <v>1</v>
      </c>
      <c r="G21" s="7" t="e">
        <f>$D$7</f>
        <v>#NUM!</v>
      </c>
      <c r="H21" s="61">
        <f>'Unit Costs'!$F30</f>
        <v>4095</v>
      </c>
      <c r="I21" s="54">
        <f>176*$G$30</f>
        <v>44</v>
      </c>
      <c r="J21" s="57">
        <f>'Unit Costs'!G30</f>
        <v>24.041666666666664</v>
      </c>
      <c r="K21" s="61">
        <f>H21+(I21*J21)</f>
        <v>5152.833333333333</v>
      </c>
      <c r="M21" s="53" t="e">
        <f t="shared" ref="M21:M28" si="0">K21*G21*F21</f>
        <v>#NUM!</v>
      </c>
    </row>
    <row r="22" spans="1:13">
      <c r="A22" s="6" t="s">
        <v>13</v>
      </c>
      <c r="F22" s="7">
        <v>1</v>
      </c>
      <c r="G22" s="7" t="e">
        <f>$D$7</f>
        <v>#NUM!</v>
      </c>
      <c r="H22" s="61">
        <f>'Unit Costs'!$F31</f>
        <v>1865.6</v>
      </c>
      <c r="I22" s="54">
        <f>176*$G$30</f>
        <v>44</v>
      </c>
      <c r="J22" s="57">
        <f>'Unit Costs'!G31</f>
        <v>2.65</v>
      </c>
      <c r="K22" s="61">
        <f>H22+(I22*J22)</f>
        <v>1982.1999999999998</v>
      </c>
      <c r="M22" s="53" t="e">
        <f t="shared" si="0"/>
        <v>#NUM!</v>
      </c>
    </row>
    <row r="23" spans="1:13">
      <c r="A23" s="6" t="s">
        <v>11</v>
      </c>
      <c r="F23" s="7">
        <v>2</v>
      </c>
      <c r="G23" s="7" t="e">
        <f>$D$7</f>
        <v>#NUM!</v>
      </c>
      <c r="H23" s="61">
        <f>'Unit Costs'!$F32</f>
        <v>5178.8</v>
      </c>
      <c r="I23" s="54">
        <f>176*$G$30</f>
        <v>44</v>
      </c>
      <c r="J23" s="57">
        <f>'Unit Costs'!G32</f>
        <v>6.8294117647058821</v>
      </c>
      <c r="K23" s="61">
        <f>H23+(I23*J23)</f>
        <v>5479.2941176470595</v>
      </c>
      <c r="M23" s="53" t="e">
        <f t="shared" si="0"/>
        <v>#NUM!</v>
      </c>
    </row>
    <row r="24" spans="1:13">
      <c r="A24" t="s">
        <v>17</v>
      </c>
      <c r="F24" s="7">
        <v>1</v>
      </c>
      <c r="G24" s="7">
        <f>IF('User Inputs'!$E$73="yes",CEILING($D$7/4,3),0)</f>
        <v>0</v>
      </c>
      <c r="H24" s="61">
        <f>'Unit Costs'!$F33</f>
        <v>17850</v>
      </c>
      <c r="I24" s="54">
        <f>176*$G$30</f>
        <v>44</v>
      </c>
      <c r="J24" s="57">
        <f>'Unit Costs'!G33</f>
        <v>56.445357142857148</v>
      </c>
      <c r="K24" s="61">
        <f>H24+(I24*J24)</f>
        <v>20333.595714285715</v>
      </c>
      <c r="M24" s="53">
        <f t="shared" si="0"/>
        <v>0</v>
      </c>
    </row>
    <row r="25" spans="1:13">
      <c r="A25" s="6" t="s">
        <v>14</v>
      </c>
      <c r="F25" s="7">
        <v>1</v>
      </c>
      <c r="G25" s="7" t="e">
        <f>$D$7</f>
        <v>#NUM!</v>
      </c>
      <c r="H25" s="61">
        <f>'Unit Costs'!$F34</f>
        <v>3506.8</v>
      </c>
      <c r="I25" s="57" t="str">
        <f>J25</f>
        <v>n/a</v>
      </c>
      <c r="J25" s="57" t="str">
        <f>'Unit Costs'!G34</f>
        <v>n/a</v>
      </c>
      <c r="K25" s="61">
        <f>H25</f>
        <v>3506.8</v>
      </c>
      <c r="M25" s="53" t="e">
        <f t="shared" si="0"/>
        <v>#NUM!</v>
      </c>
    </row>
    <row r="26" spans="1:13">
      <c r="A26" t="s">
        <v>15</v>
      </c>
      <c r="F26" s="7">
        <v>1</v>
      </c>
      <c r="G26" s="7" t="e">
        <f>CEILING($D$7/12,1)</f>
        <v>#NUM!</v>
      </c>
      <c r="H26" s="61">
        <f>'Unit Costs'!$F35</f>
        <v>7378.8</v>
      </c>
      <c r="I26" s="57" t="str">
        <f>J26</f>
        <v>n/a</v>
      </c>
      <c r="J26" s="57" t="str">
        <f>'Unit Costs'!G35</f>
        <v>n/a</v>
      </c>
      <c r="K26" s="61">
        <f>H26</f>
        <v>7378.8</v>
      </c>
      <c r="M26" s="53" t="e">
        <f t="shared" si="0"/>
        <v>#NUM!</v>
      </c>
    </row>
    <row r="27" spans="1:13">
      <c r="A27" t="s">
        <v>111</v>
      </c>
      <c r="F27" s="7">
        <v>1</v>
      </c>
      <c r="G27" s="7" t="e">
        <f>$D$7</f>
        <v>#NUM!</v>
      </c>
      <c r="H27" s="61">
        <f>'Unit Costs'!$F36</f>
        <v>330</v>
      </c>
      <c r="I27" s="57" t="str">
        <f>J27</f>
        <v>n/a</v>
      </c>
      <c r="J27" s="57" t="str">
        <f>'Unit Costs'!G36</f>
        <v>n/a</v>
      </c>
      <c r="K27" s="61">
        <f>H27</f>
        <v>330</v>
      </c>
      <c r="M27" s="53" t="e">
        <f t="shared" si="0"/>
        <v>#NUM!</v>
      </c>
    </row>
    <row r="28" spans="1:13">
      <c r="A28" t="s">
        <v>112</v>
      </c>
      <c r="F28" s="7">
        <v>1</v>
      </c>
      <c r="G28" s="7" t="e">
        <f>$D$7</f>
        <v>#NUM!</v>
      </c>
      <c r="H28" s="61">
        <f>'Unit Costs'!$F37</f>
        <v>239.4</v>
      </c>
      <c r="I28" s="57" t="str">
        <f>J28</f>
        <v>n/a</v>
      </c>
      <c r="J28" s="57" t="str">
        <f>'Unit Costs'!G37</f>
        <v>n/a</v>
      </c>
      <c r="K28" s="61">
        <f>H28</f>
        <v>239.4</v>
      </c>
      <c r="M28" s="53" t="e">
        <f t="shared" si="0"/>
        <v>#NUM!</v>
      </c>
    </row>
    <row r="29" spans="1:13">
      <c r="M29" s="8"/>
    </row>
    <row r="30" spans="1:13">
      <c r="A30" t="s">
        <v>271</v>
      </c>
      <c r="D30" s="207"/>
      <c r="F30" s="207"/>
      <c r="G30" s="206">
        <v>0.25</v>
      </c>
      <c r="M30" s="8"/>
    </row>
    <row r="31" spans="1:13" ht="13.5" thickBot="1">
      <c r="M31" s="8"/>
    </row>
    <row r="32" spans="1:13" ht="16.5" thickBot="1">
      <c r="A32" s="9" t="s">
        <v>37</v>
      </c>
      <c r="M32" s="63" t="e">
        <f>SUM(M21:M28)</f>
        <v>#NUM!</v>
      </c>
    </row>
    <row r="33" spans="1:13">
      <c r="M33" s="8"/>
    </row>
    <row r="34" spans="1:13" ht="15.75">
      <c r="A34" s="9" t="s">
        <v>35</v>
      </c>
      <c r="M34" s="67"/>
    </row>
    <row r="35" spans="1:13">
      <c r="M35" s="8"/>
    </row>
    <row r="36" spans="1:13">
      <c r="A36" s="1" t="s">
        <v>200</v>
      </c>
      <c r="M36" s="8"/>
    </row>
    <row r="37" spans="1:13">
      <c r="A37" s="6" t="s">
        <v>27</v>
      </c>
      <c r="G37" s="7" t="s">
        <v>127</v>
      </c>
      <c r="H37" s="7" t="s">
        <v>29</v>
      </c>
      <c r="I37" s="7" t="s">
        <v>108</v>
      </c>
      <c r="K37" s="2"/>
      <c r="M37" s="8"/>
    </row>
    <row r="38" spans="1:13">
      <c r="A38" s="6" t="s">
        <v>118</v>
      </c>
      <c r="G38" s="58" t="e">
        <f>'User Inputs'!$E61*$D$7*4.33+'User Inputs'!$F61*$D$7+'User Inputs'!$G61*$D$7/3+'User Inputs'!$H61*$D$7/6+'User Inputs'!$I61*$D$7/12</f>
        <v>#NUM!</v>
      </c>
      <c r="H38" s="28">
        <f>'Unit Costs'!F63</f>
        <v>647</v>
      </c>
      <c r="I38" s="12" t="e">
        <f>G38*H38</f>
        <v>#NUM!</v>
      </c>
      <c r="K38" s="101"/>
      <c r="M38" s="8"/>
    </row>
    <row r="39" spans="1:13">
      <c r="A39" s="6" t="s">
        <v>28</v>
      </c>
      <c r="G39" s="58" t="e">
        <f>'User Inputs'!$E62*$D$7*4.33+'User Inputs'!$F62*$D$7+'User Inputs'!$G62*$D$7/3+'User Inputs'!$H62*$D$7/6+'User Inputs'!$I62*$D$7/12</f>
        <v>#NUM!</v>
      </c>
      <c r="H39" s="28">
        <f>'Unit Costs'!F64</f>
        <v>736</v>
      </c>
      <c r="I39" s="12" t="e">
        <f>G39*H39</f>
        <v>#NUM!</v>
      </c>
      <c r="K39" s="101"/>
      <c r="M39" s="8"/>
    </row>
    <row r="40" spans="1:13">
      <c r="M40" s="8"/>
    </row>
    <row r="41" spans="1:13">
      <c r="A41" s="1" t="s">
        <v>30</v>
      </c>
      <c r="M41" s="14" t="e">
        <f>I38+I39</f>
        <v>#NUM!</v>
      </c>
    </row>
    <row r="42" spans="1:13">
      <c r="M42" s="8"/>
    </row>
    <row r="43" spans="1:13">
      <c r="A43" s="1" t="s">
        <v>34</v>
      </c>
      <c r="M43" s="14" t="e">
        <f>$D$7*1000</f>
        <v>#NUM!</v>
      </c>
    </row>
    <row r="44" spans="1:13" ht="13.5" thickBot="1">
      <c r="M44" s="8"/>
    </row>
    <row r="45" spans="1:13" ht="16.5" thickBot="1">
      <c r="A45" s="9" t="s">
        <v>38</v>
      </c>
      <c r="M45" s="18" t="e">
        <f>M41+M43</f>
        <v>#NUM!</v>
      </c>
    </row>
    <row r="46" spans="1:13" ht="15.75">
      <c r="A46" s="9"/>
      <c r="M46" s="67"/>
    </row>
    <row r="47" spans="1:13" ht="15">
      <c r="I47" s="23" t="s">
        <v>41</v>
      </c>
      <c r="J47" s="23" t="s">
        <v>42</v>
      </c>
      <c r="K47" s="23" t="s">
        <v>43</v>
      </c>
      <c r="L47" s="19"/>
      <c r="M47" s="23" t="s">
        <v>6</v>
      </c>
    </row>
    <row r="48" spans="1:13" ht="13.5" thickBot="1"/>
    <row r="49" spans="1:13" ht="18.75" thickBot="1">
      <c r="A49" s="69" t="s">
        <v>224</v>
      </c>
      <c r="I49" s="70" t="e">
        <f>M16</f>
        <v>#NUM!</v>
      </c>
      <c r="J49" s="70" t="e">
        <f>M32</f>
        <v>#NUM!</v>
      </c>
      <c r="K49" s="70" t="e">
        <f>M45</f>
        <v>#NUM!</v>
      </c>
      <c r="L49" s="4"/>
      <c r="M49" s="70" t="e">
        <f>SUM(I49:K49)</f>
        <v>#NUM!</v>
      </c>
    </row>
    <row r="51" spans="1:13" s="69" customFormat="1" ht="18">
      <c r="A51" s="69" t="s">
        <v>369</v>
      </c>
    </row>
    <row r="53" spans="1:13" ht="13.5" thickBot="1"/>
    <row r="54" spans="1:13" ht="16.5" thickBot="1">
      <c r="A54" s="279">
        <f>'User Inputs'!C10</f>
        <v>0</v>
      </c>
      <c r="B54" s="280"/>
      <c r="C54" s="281"/>
    </row>
    <row r="55" spans="1:13" ht="15.75">
      <c r="A55" s="9"/>
    </row>
    <row r="56" spans="1:13">
      <c r="A56" t="s">
        <v>113</v>
      </c>
      <c r="D56" s="96">
        <f>'User Inputs'!E46</f>
        <v>0</v>
      </c>
    </row>
    <row r="57" spans="1:13" ht="15.75">
      <c r="A57" s="9"/>
    </row>
    <row r="58" spans="1:13" ht="15.75">
      <c r="A58" s="9" t="s">
        <v>8</v>
      </c>
    </row>
    <row r="59" spans="1:13">
      <c r="A59" s="32" t="s">
        <v>58</v>
      </c>
    </row>
    <row r="60" spans="1:13">
      <c r="A60" s="169" t="s">
        <v>9</v>
      </c>
      <c r="B60" s="141"/>
      <c r="M60" s="8"/>
    </row>
    <row r="61" spans="1:13">
      <c r="A61" s="139" t="s">
        <v>47</v>
      </c>
      <c r="B61" s="140"/>
      <c r="C61" s="141"/>
      <c r="D61" s="11">
        <f>'User Inputs'!$E$23</f>
        <v>0</v>
      </c>
      <c r="M61" s="8"/>
    </row>
    <row r="62" spans="1:13">
      <c r="A62" s="139" t="s">
        <v>106</v>
      </c>
      <c r="B62" s="140"/>
      <c r="C62" s="141"/>
      <c r="D62" s="11">
        <f>'User Inputs'!$E$27</f>
        <v>0</v>
      </c>
      <c r="E62" s="2"/>
      <c r="I62" s="2"/>
      <c r="J62" s="2"/>
      <c r="K62" s="2"/>
    </row>
    <row r="63" spans="1:13">
      <c r="A63" s="6"/>
      <c r="E63" s="2"/>
      <c r="I63" s="2"/>
      <c r="J63" s="2"/>
      <c r="K63" s="2"/>
    </row>
    <row r="64" spans="1:13" ht="13.5" thickBot="1">
      <c r="A64" s="6"/>
      <c r="D64" s="60" t="s">
        <v>71</v>
      </c>
      <c r="E64" s="7" t="s">
        <v>109</v>
      </c>
      <c r="I64" s="2"/>
      <c r="M64" s="5"/>
    </row>
    <row r="65" spans="1:13" ht="13.5" thickBot="1">
      <c r="A65" s="139" t="s">
        <v>80</v>
      </c>
      <c r="B65" s="140"/>
      <c r="C65" s="141"/>
      <c r="D65" s="7">
        <f>'User Inputs'!$E$37</f>
        <v>0</v>
      </c>
      <c r="E65" s="27">
        <f>'User Inputs'!$E$34</f>
        <v>6386</v>
      </c>
      <c r="I65" s="2"/>
      <c r="M65" s="68" t="s">
        <v>105</v>
      </c>
    </row>
    <row r="66" spans="1:13">
      <c r="A66" s="139" t="s">
        <v>81</v>
      </c>
      <c r="B66" s="140"/>
      <c r="C66" s="141"/>
      <c r="D66" s="7">
        <f>'User Inputs'!$F$37</f>
        <v>0</v>
      </c>
      <c r="E66" s="27">
        <f>'User Inputs'!$F$34</f>
        <v>9971</v>
      </c>
    </row>
    <row r="67" spans="1:13">
      <c r="A67" s="139" t="s">
        <v>83</v>
      </c>
      <c r="B67" s="140"/>
      <c r="C67" s="141"/>
      <c r="D67" s="7">
        <f>'User Inputs'!$G$37</f>
        <v>0</v>
      </c>
      <c r="E67" s="27">
        <f>'User Inputs'!$G$34</f>
        <v>4997</v>
      </c>
    </row>
    <row r="68" spans="1:13">
      <c r="A68" s="225" t="s">
        <v>381</v>
      </c>
      <c r="B68" s="140"/>
      <c r="C68" s="141"/>
      <c r="D68" s="7">
        <f>'User Inputs'!$H$37</f>
        <v>0</v>
      </c>
      <c r="E68" s="27">
        <f>'User Inputs'!$H$34</f>
        <v>4209</v>
      </c>
    </row>
    <row r="69" spans="1:13">
      <c r="I69" s="2"/>
      <c r="J69" s="7" t="s">
        <v>103</v>
      </c>
      <c r="K69" s="7" t="s">
        <v>104</v>
      </c>
      <c r="M69" s="8"/>
    </row>
    <row r="70" spans="1:13">
      <c r="A70" s="169" t="s">
        <v>18</v>
      </c>
      <c r="B70" s="140"/>
      <c r="C70" s="140"/>
      <c r="D70" s="140"/>
      <c r="E70" s="140"/>
      <c r="F70" s="140"/>
      <c r="G70" s="140"/>
      <c r="H70" s="140"/>
      <c r="I70" s="170"/>
      <c r="J70" s="58">
        <f>$D$56</f>
        <v>0</v>
      </c>
      <c r="K70" s="27">
        <f>(E65*D65+E66*D66+E67*D67+E68*D68)</f>
        <v>0</v>
      </c>
      <c r="M70" s="17">
        <f>K70*J70</f>
        <v>0</v>
      </c>
    </row>
    <row r="71" spans="1:13">
      <c r="A71" s="1"/>
      <c r="I71" s="8"/>
      <c r="J71" s="2"/>
      <c r="K71" s="36"/>
      <c r="M71" s="16"/>
    </row>
    <row r="72" spans="1:13" hidden="1">
      <c r="A72" s="169" t="s">
        <v>85</v>
      </c>
      <c r="B72" s="140"/>
      <c r="C72" s="140"/>
      <c r="D72" s="140"/>
      <c r="E72" s="140"/>
      <c r="F72" s="140"/>
      <c r="G72" s="140"/>
      <c r="H72" s="140"/>
      <c r="I72" s="141"/>
      <c r="J72" s="58">
        <f>$D$56</f>
        <v>0</v>
      </c>
      <c r="K72" s="27">
        <f>'User Inputs'!$E$35*'User Inputs'!$E$37+'User Inputs'!$F$35*'User Inputs'!$F$37+'User Inputs'!$G$35*'User Inputs'!$G$37</f>
        <v>0</v>
      </c>
      <c r="M72" s="17">
        <f>K72*J72</f>
        <v>0</v>
      </c>
    </row>
    <row r="73" spans="1:13" hidden="1">
      <c r="A73" s="169" t="s">
        <v>84</v>
      </c>
      <c r="B73" s="140"/>
      <c r="C73" s="140"/>
      <c r="D73" s="140"/>
      <c r="E73" s="140"/>
      <c r="F73" s="140"/>
      <c r="G73" s="140"/>
      <c r="H73" s="140"/>
      <c r="I73" s="141"/>
      <c r="J73" s="58">
        <f>$D$56</f>
        <v>0</v>
      </c>
      <c r="K73" s="27">
        <f>'User Inputs'!$E$36*'User Inputs'!$E$37+'User Inputs'!$F$36*'User Inputs'!$F$37+'User Inputs'!$G$36*'User Inputs'!$G$37</f>
        <v>0</v>
      </c>
      <c r="M73" s="17">
        <f>K73*J73</f>
        <v>0</v>
      </c>
    </row>
    <row r="74" spans="1:13">
      <c r="A74" s="169" t="s">
        <v>110</v>
      </c>
      <c r="B74" s="140"/>
      <c r="C74" s="140"/>
      <c r="D74" s="140"/>
      <c r="E74" s="140"/>
      <c r="F74" s="140"/>
      <c r="G74" s="140"/>
      <c r="H74" s="140"/>
      <c r="I74" s="140"/>
      <c r="J74" s="86"/>
      <c r="K74" s="171"/>
      <c r="M74" s="17">
        <f>M70*0.1</f>
        <v>0</v>
      </c>
    </row>
    <row r="75" spans="1:13" ht="13.5" thickBot="1">
      <c r="A75" s="1"/>
      <c r="J75" s="2"/>
      <c r="K75" s="36"/>
      <c r="M75" s="16"/>
    </row>
    <row r="76" spans="1:13" ht="13.5" thickBot="1">
      <c r="A76" s="1" t="s">
        <v>86</v>
      </c>
      <c r="J76" s="2"/>
      <c r="K76" s="36"/>
      <c r="M76" s="63">
        <f>SUM(M70:M74)</f>
        <v>0</v>
      </c>
    </row>
    <row r="77" spans="1:13" ht="13.5" thickBot="1">
      <c r="M77" s="4"/>
    </row>
    <row r="78" spans="1:13" ht="16.5" thickBot="1">
      <c r="A78" s="9" t="s">
        <v>37</v>
      </c>
      <c r="E78" s="24"/>
      <c r="M78" s="18">
        <f>M76</f>
        <v>0</v>
      </c>
    </row>
    <row r="79" spans="1:13">
      <c r="M79" s="4"/>
    </row>
    <row r="80" spans="1:13" ht="15.75">
      <c r="A80" s="9" t="s">
        <v>35</v>
      </c>
      <c r="M80" s="4"/>
    </row>
    <row r="81" spans="1:13">
      <c r="M81" s="4"/>
    </row>
    <row r="82" spans="1:13">
      <c r="M82" s="4"/>
    </row>
    <row r="83" spans="1:13" ht="15.75">
      <c r="A83" s="9" t="s">
        <v>317</v>
      </c>
      <c r="L83" s="4"/>
      <c r="M83" s="4"/>
    </row>
    <row r="84" spans="1:13">
      <c r="L84" s="4"/>
      <c r="M84" s="4"/>
    </row>
    <row r="85" spans="1:13">
      <c r="M85" s="4"/>
    </row>
    <row r="86" spans="1:13">
      <c r="A86" s="192" t="s">
        <v>257</v>
      </c>
      <c r="B86" s="192" t="s">
        <v>261</v>
      </c>
      <c r="M86" s="4"/>
    </row>
    <row r="87" spans="1:13">
      <c r="A87" s="7" t="s">
        <v>255</v>
      </c>
      <c r="B87" s="7" t="s">
        <v>254</v>
      </c>
      <c r="C87" s="7" t="s">
        <v>25</v>
      </c>
      <c r="F87" s="7" t="s">
        <v>258</v>
      </c>
      <c r="G87" s="7" t="s">
        <v>259</v>
      </c>
      <c r="H87" s="7" t="s">
        <v>264</v>
      </c>
      <c r="I87" s="60" t="s">
        <v>318</v>
      </c>
      <c r="K87" s="60" t="s">
        <v>321</v>
      </c>
      <c r="M87" s="13"/>
    </row>
    <row r="88" spans="1:13">
      <c r="A88" s="11">
        <f>'User Inputs'!$E$22</f>
        <v>0</v>
      </c>
      <c r="B88" s="11">
        <f>'User Inputs'!$E$23</f>
        <v>0</v>
      </c>
      <c r="C88" s="11">
        <f>IF(B88=0,0,A88*10^6/(B88*60))</f>
        <v>0</v>
      </c>
      <c r="F88" s="11">
        <f>'User Inputs'!$E$23</f>
        <v>0</v>
      </c>
      <c r="G88" s="11">
        <f>'User Inputs'!$E$27</f>
        <v>0</v>
      </c>
      <c r="H88" s="11">
        <f>(F88*G88)/(3960*0.9)</f>
        <v>0</v>
      </c>
      <c r="I88" s="200">
        <f>H88*0.746</f>
        <v>0</v>
      </c>
      <c r="K88" s="28">
        <f>'Unit Costs'!$F$55</f>
        <v>0.1027</v>
      </c>
      <c r="M88" s="17">
        <f>C88*I88*K88</f>
        <v>0</v>
      </c>
    </row>
    <row r="89" spans="1:13">
      <c r="A89" s="190"/>
      <c r="B89" s="2"/>
      <c r="C89" s="2"/>
      <c r="D89" s="2"/>
      <c r="E89" s="191"/>
      <c r="G89" s="2"/>
      <c r="H89" s="193"/>
      <c r="I89" s="194"/>
      <c r="K89" s="195"/>
      <c r="M89" s="16"/>
    </row>
    <row r="90" spans="1:13">
      <c r="A90" s="6" t="s">
        <v>265</v>
      </c>
      <c r="E90" s="157"/>
      <c r="H90" s="201"/>
      <c r="I90" s="194"/>
      <c r="K90" s="203"/>
      <c r="M90" s="204"/>
    </row>
    <row r="91" spans="1:13" ht="13.5" thickBot="1">
      <c r="M91" s="13"/>
    </row>
    <row r="92" spans="1:13" ht="16.5" thickBot="1">
      <c r="A92" s="9" t="s">
        <v>319</v>
      </c>
      <c r="M92" s="63">
        <f>M88</f>
        <v>0</v>
      </c>
    </row>
    <row r="93" spans="1:13" ht="13.5" thickBot="1">
      <c r="F93" s="24"/>
      <c r="M93" s="4"/>
    </row>
    <row r="94" spans="1:13" ht="16.5" thickBot="1">
      <c r="A94" s="9" t="s">
        <v>38</v>
      </c>
      <c r="M94" s="18">
        <f>M92</f>
        <v>0</v>
      </c>
    </row>
    <row r="95" spans="1:13">
      <c r="M95" s="4"/>
    </row>
    <row r="96" spans="1:13">
      <c r="M96" s="4"/>
    </row>
    <row r="97" spans="1:13">
      <c r="M97" s="4"/>
    </row>
    <row r="98" spans="1:13" ht="15">
      <c r="I98" s="23" t="s">
        <v>41</v>
      </c>
      <c r="J98" s="23" t="s">
        <v>42</v>
      </c>
      <c r="K98" s="23" t="s">
        <v>43</v>
      </c>
      <c r="L98" s="19"/>
      <c r="M98" s="23" t="s">
        <v>6</v>
      </c>
    </row>
    <row r="99" spans="1:13" ht="13.5" thickBot="1">
      <c r="M99" s="4"/>
    </row>
    <row r="100" spans="1:13" ht="18.75" thickBot="1">
      <c r="A100" s="69" t="s">
        <v>370</v>
      </c>
      <c r="I100" s="70">
        <v>0</v>
      </c>
      <c r="J100" s="70">
        <f>M78</f>
        <v>0</v>
      </c>
      <c r="K100" s="70">
        <f>M94</f>
        <v>0</v>
      </c>
      <c r="L100" s="4"/>
      <c r="M100" s="70">
        <f>SUM(I100:K100)</f>
        <v>0</v>
      </c>
    </row>
    <row r="103" spans="1:13" ht="18">
      <c r="A103" s="69" t="s">
        <v>369</v>
      </c>
    </row>
    <row r="104" spans="1:13" ht="13.5" thickBot="1"/>
    <row r="105" spans="1:13" ht="16.5" thickBot="1">
      <c r="A105" s="279">
        <f>'User Inputs'!C11</f>
        <v>0</v>
      </c>
      <c r="B105" s="280"/>
      <c r="C105" s="281"/>
    </row>
    <row r="106" spans="1:13" ht="15.75">
      <c r="A106" s="9"/>
    </row>
    <row r="107" spans="1:13">
      <c r="A107" t="s">
        <v>113</v>
      </c>
      <c r="D107" s="96">
        <f>'User Inputs'!F46</f>
        <v>0</v>
      </c>
    </row>
    <row r="108" spans="1:13" ht="15.75">
      <c r="A108" s="9"/>
    </row>
    <row r="109" spans="1:13" ht="15.75">
      <c r="A109" s="9" t="s">
        <v>8</v>
      </c>
    </row>
    <row r="110" spans="1:13">
      <c r="A110" s="32" t="s">
        <v>58</v>
      </c>
    </row>
    <row r="111" spans="1:13">
      <c r="A111" s="169" t="s">
        <v>9</v>
      </c>
      <c r="B111" s="141"/>
      <c r="M111" s="8"/>
    </row>
    <row r="112" spans="1:13">
      <c r="A112" s="139" t="s">
        <v>47</v>
      </c>
      <c r="B112" s="140"/>
      <c r="C112" s="141"/>
      <c r="D112" s="11">
        <f>'User Inputs'!F23</f>
        <v>0</v>
      </c>
      <c r="M112" s="8"/>
    </row>
    <row r="113" spans="1:13">
      <c r="A113" s="139" t="s">
        <v>106</v>
      </c>
      <c r="B113" s="140"/>
      <c r="C113" s="141"/>
      <c r="D113" s="11">
        <f>'User Inputs'!F27</f>
        <v>0</v>
      </c>
      <c r="E113" s="2"/>
      <c r="I113" s="2"/>
      <c r="J113" s="2"/>
      <c r="K113" s="2"/>
    </row>
    <row r="114" spans="1:13">
      <c r="A114" s="6"/>
      <c r="E114" s="2"/>
      <c r="I114" s="2"/>
      <c r="J114" s="2"/>
      <c r="K114" s="2"/>
    </row>
    <row r="115" spans="1:13">
      <c r="A115" s="6"/>
      <c r="D115" s="60" t="s">
        <v>71</v>
      </c>
      <c r="E115" s="7" t="s">
        <v>109</v>
      </c>
      <c r="I115" s="2"/>
      <c r="M115" s="5"/>
    </row>
    <row r="116" spans="1:13" ht="13.5" thickBot="1">
      <c r="A116" s="139" t="s">
        <v>80</v>
      </c>
      <c r="B116" s="140"/>
      <c r="C116" s="141"/>
      <c r="D116" s="7">
        <f>'User Inputs'!$E$38</f>
        <v>0</v>
      </c>
      <c r="E116" s="27">
        <f>'User Inputs'!$E$34</f>
        <v>6386</v>
      </c>
      <c r="I116" s="2"/>
      <c r="M116" s="5"/>
    </row>
    <row r="117" spans="1:13" ht="13.5" thickBot="1">
      <c r="A117" s="139" t="s">
        <v>81</v>
      </c>
      <c r="B117" s="140"/>
      <c r="C117" s="141"/>
      <c r="D117" s="7">
        <f>'User Inputs'!$F$38</f>
        <v>0</v>
      </c>
      <c r="E117" s="27">
        <f>'User Inputs'!$F$34</f>
        <v>9971</v>
      </c>
      <c r="M117" s="68" t="s">
        <v>105</v>
      </c>
    </row>
    <row r="118" spans="1:13">
      <c r="A118" s="139" t="s">
        <v>83</v>
      </c>
      <c r="B118" s="140"/>
      <c r="C118" s="141"/>
      <c r="D118" s="7">
        <f>'User Inputs'!$G$38</f>
        <v>0</v>
      </c>
      <c r="E118" s="27">
        <f>'User Inputs'!$G$34</f>
        <v>4997</v>
      </c>
    </row>
    <row r="119" spans="1:13">
      <c r="A119" s="225" t="s">
        <v>381</v>
      </c>
      <c r="B119" s="140"/>
      <c r="C119" s="141"/>
      <c r="D119" s="7">
        <f>'User Inputs'!$H$38</f>
        <v>0</v>
      </c>
      <c r="E119" s="27">
        <f>'User Inputs'!$H$34</f>
        <v>4209</v>
      </c>
    </row>
    <row r="120" spans="1:13">
      <c r="I120" s="2"/>
      <c r="J120" s="7" t="s">
        <v>103</v>
      </c>
      <c r="K120" s="7" t="s">
        <v>104</v>
      </c>
      <c r="M120" s="8"/>
    </row>
    <row r="121" spans="1:13">
      <c r="A121" s="169" t="s">
        <v>18</v>
      </c>
      <c r="B121" s="140"/>
      <c r="C121" s="140"/>
      <c r="D121" s="140"/>
      <c r="E121" s="140"/>
      <c r="F121" s="140"/>
      <c r="G121" s="140"/>
      <c r="H121" s="140"/>
      <c r="I121" s="170"/>
      <c r="J121" s="58">
        <f>$D$107</f>
        <v>0</v>
      </c>
      <c r="K121" s="27">
        <f>(E116*D116+E117*D117+E118*D118+E119*D119)</f>
        <v>0</v>
      </c>
      <c r="M121" s="17">
        <f>K121*J121</f>
        <v>0</v>
      </c>
    </row>
    <row r="122" spans="1:13">
      <c r="A122" s="1"/>
      <c r="I122" s="8"/>
      <c r="J122" s="2"/>
      <c r="K122" s="36"/>
      <c r="M122" s="16"/>
    </row>
    <row r="123" spans="1:13" hidden="1">
      <c r="A123" s="169" t="s">
        <v>85</v>
      </c>
      <c r="B123" s="140"/>
      <c r="C123" s="140"/>
      <c r="D123" s="140"/>
      <c r="E123" s="140"/>
      <c r="F123" s="140"/>
      <c r="G123" s="140"/>
      <c r="H123" s="140"/>
      <c r="I123" s="141"/>
      <c r="J123" s="58">
        <f>$D$107</f>
        <v>0</v>
      </c>
      <c r="K123" s="27">
        <f>'User Inputs'!$E$35*'User Inputs'!$E$38+'User Inputs'!$F$35*'User Inputs'!$F$38+'User Inputs'!$G$35*'User Inputs'!$G$38</f>
        <v>0</v>
      </c>
      <c r="M123" s="17">
        <f>K123*J123</f>
        <v>0</v>
      </c>
    </row>
    <row r="124" spans="1:13" hidden="1">
      <c r="A124" s="169" t="s">
        <v>84</v>
      </c>
      <c r="B124" s="140"/>
      <c r="C124" s="140"/>
      <c r="D124" s="140"/>
      <c r="E124" s="140"/>
      <c r="F124" s="140"/>
      <c r="G124" s="140"/>
      <c r="H124" s="140"/>
      <c r="I124" s="141"/>
      <c r="J124" s="58">
        <f>$D$107</f>
        <v>0</v>
      </c>
      <c r="K124" s="27">
        <f>'User Inputs'!$E$36*'User Inputs'!$E$38+'User Inputs'!$F$36*'User Inputs'!$F$38+'User Inputs'!$G$36*'User Inputs'!$G$38</f>
        <v>0</v>
      </c>
      <c r="M124" s="17">
        <f>K124*J124</f>
        <v>0</v>
      </c>
    </row>
    <row r="125" spans="1:13">
      <c r="A125" s="169" t="s">
        <v>110</v>
      </c>
      <c r="B125" s="140"/>
      <c r="C125" s="140"/>
      <c r="D125" s="140"/>
      <c r="E125" s="140"/>
      <c r="F125" s="140"/>
      <c r="G125" s="140"/>
      <c r="H125" s="140"/>
      <c r="I125" s="140"/>
      <c r="J125" s="86"/>
      <c r="K125" s="171"/>
      <c r="M125" s="17">
        <f>M121*0.1</f>
        <v>0</v>
      </c>
    </row>
    <row r="126" spans="1:13" ht="13.5" thickBot="1">
      <c r="A126" s="1"/>
      <c r="J126" s="2"/>
      <c r="K126" s="36"/>
      <c r="M126" s="16"/>
    </row>
    <row r="127" spans="1:13" ht="13.5" thickBot="1">
      <c r="A127" s="1" t="s">
        <v>86</v>
      </c>
      <c r="J127" s="2"/>
      <c r="K127" s="36"/>
      <c r="M127" s="63">
        <f>SUM(M121:M125)</f>
        <v>0</v>
      </c>
    </row>
    <row r="128" spans="1:13" ht="13.5" thickBot="1">
      <c r="M128" s="4"/>
    </row>
    <row r="129" spans="1:13" ht="16.5" thickBot="1">
      <c r="A129" s="9" t="s">
        <v>37</v>
      </c>
      <c r="M129" s="18">
        <f>M127</f>
        <v>0</v>
      </c>
    </row>
    <row r="130" spans="1:13">
      <c r="M130" s="4"/>
    </row>
    <row r="131" spans="1:13" ht="15.75">
      <c r="A131" s="9" t="s">
        <v>35</v>
      </c>
      <c r="M131" s="4"/>
    </row>
    <row r="132" spans="1:13">
      <c r="M132" s="4"/>
    </row>
    <row r="133" spans="1:13">
      <c r="M133" s="4"/>
    </row>
    <row r="134" spans="1:13" ht="15.75">
      <c r="A134" s="9" t="s">
        <v>320</v>
      </c>
      <c r="L134" s="4"/>
      <c r="M134" s="4"/>
    </row>
    <row r="135" spans="1:13">
      <c r="L135" s="4"/>
      <c r="M135" s="4"/>
    </row>
    <row r="136" spans="1:13">
      <c r="M136" s="4"/>
    </row>
    <row r="137" spans="1:13">
      <c r="A137" s="192" t="s">
        <v>257</v>
      </c>
      <c r="B137" s="192" t="s">
        <v>261</v>
      </c>
      <c r="M137" s="4"/>
    </row>
    <row r="138" spans="1:13">
      <c r="A138" s="7" t="s">
        <v>255</v>
      </c>
      <c r="B138" s="7" t="s">
        <v>254</v>
      </c>
      <c r="C138" s="7" t="s">
        <v>25</v>
      </c>
      <c r="F138" s="7" t="s">
        <v>258</v>
      </c>
      <c r="G138" s="7" t="s">
        <v>259</v>
      </c>
      <c r="H138" s="7" t="s">
        <v>262</v>
      </c>
      <c r="I138" s="60" t="s">
        <v>318</v>
      </c>
      <c r="K138" s="60" t="s">
        <v>321</v>
      </c>
      <c r="M138" s="13"/>
    </row>
    <row r="139" spans="1:13">
      <c r="A139" s="11">
        <f>'User Inputs'!$F$22</f>
        <v>0</v>
      </c>
      <c r="B139" s="11">
        <f>'User Inputs'!$F$23</f>
        <v>0</v>
      </c>
      <c r="C139" s="11">
        <f>IF(B139=0,0,A139*10^6/(B139*60))</f>
        <v>0</v>
      </c>
      <c r="F139" s="11">
        <f>'User Inputs'!$F$23</f>
        <v>0</v>
      </c>
      <c r="G139" s="11">
        <f>'User Inputs'!$F$27</f>
        <v>0</v>
      </c>
      <c r="H139" s="11">
        <f>(F139*G139)/(3960*0.9)</f>
        <v>0</v>
      </c>
      <c r="I139" s="200">
        <f>H139*0.746</f>
        <v>0</v>
      </c>
      <c r="K139" s="28">
        <f>'Unit Costs'!$F$55</f>
        <v>0.1027</v>
      </c>
      <c r="M139" s="17">
        <f>C139*I139*K139</f>
        <v>0</v>
      </c>
    </row>
    <row r="140" spans="1:13">
      <c r="M140" s="13"/>
    </row>
    <row r="141" spans="1:13">
      <c r="A141" s="6" t="s">
        <v>265</v>
      </c>
      <c r="M141" s="13"/>
    </row>
    <row r="142" spans="1:13" ht="13.5" thickBot="1">
      <c r="M142" s="13"/>
    </row>
    <row r="143" spans="1:13" ht="16.5" thickBot="1">
      <c r="A143" s="9" t="s">
        <v>319</v>
      </c>
      <c r="M143" s="63">
        <f>M139</f>
        <v>0</v>
      </c>
    </row>
    <row r="144" spans="1:13" ht="13.5" thickBot="1">
      <c r="M144" s="4"/>
    </row>
    <row r="145" spans="1:13" ht="16.5" thickBot="1">
      <c r="A145" s="9" t="s">
        <v>38</v>
      </c>
      <c r="M145" s="18">
        <f>M143</f>
        <v>0</v>
      </c>
    </row>
    <row r="146" spans="1:13">
      <c r="M146" s="4"/>
    </row>
    <row r="147" spans="1:13">
      <c r="M147" s="4"/>
    </row>
    <row r="148" spans="1:13">
      <c r="M148" s="4"/>
    </row>
    <row r="149" spans="1:13" ht="15">
      <c r="I149" s="23" t="s">
        <v>41</v>
      </c>
      <c r="J149" s="23" t="s">
        <v>42</v>
      </c>
      <c r="K149" s="23" t="s">
        <v>43</v>
      </c>
      <c r="L149" s="19"/>
      <c r="M149" s="23" t="s">
        <v>6</v>
      </c>
    </row>
    <row r="150" spans="1:13" ht="13.5" thickBot="1">
      <c r="M150" s="4"/>
    </row>
    <row r="151" spans="1:13" ht="18.75" thickBot="1">
      <c r="A151" s="69" t="s">
        <v>371</v>
      </c>
      <c r="I151" s="70">
        <v>0</v>
      </c>
      <c r="J151" s="70">
        <f>M129</f>
        <v>0</v>
      </c>
      <c r="K151" s="70">
        <f>M145</f>
        <v>0</v>
      </c>
      <c r="L151" s="4"/>
      <c r="M151" s="70">
        <f>SUM(I151:K151)</f>
        <v>0</v>
      </c>
    </row>
    <row r="154" spans="1:13" ht="18">
      <c r="A154" s="69" t="s">
        <v>369</v>
      </c>
    </row>
    <row r="155" spans="1:13" ht="13.5" thickBot="1"/>
    <row r="156" spans="1:13" ht="16.5" thickBot="1">
      <c r="A156" s="279">
        <f>'User Inputs'!C12</f>
        <v>0</v>
      </c>
      <c r="B156" s="280"/>
      <c r="C156" s="281"/>
    </row>
    <row r="157" spans="1:13" ht="15.75">
      <c r="A157" s="9"/>
    </row>
    <row r="158" spans="1:13">
      <c r="A158" t="s">
        <v>113</v>
      </c>
      <c r="D158" s="96">
        <f>'User Inputs'!G46</f>
        <v>0</v>
      </c>
    </row>
    <row r="159" spans="1:13" ht="15.75">
      <c r="A159" s="9"/>
    </row>
    <row r="160" spans="1:13" ht="15.75">
      <c r="A160" s="9" t="s">
        <v>8</v>
      </c>
    </row>
    <row r="161" spans="1:13">
      <c r="A161" s="32" t="s">
        <v>58</v>
      </c>
    </row>
    <row r="162" spans="1:13">
      <c r="A162" s="169" t="s">
        <v>9</v>
      </c>
      <c r="B162" s="141"/>
      <c r="M162" s="8"/>
    </row>
    <row r="163" spans="1:13">
      <c r="A163" s="139" t="s">
        <v>47</v>
      </c>
      <c r="B163" s="140"/>
      <c r="C163" s="141"/>
      <c r="D163" s="7">
        <f>'User Inputs'!E239</f>
        <v>0</v>
      </c>
      <c r="M163" s="8"/>
    </row>
    <row r="164" spans="1:13">
      <c r="A164" s="139" t="s">
        <v>106</v>
      </c>
      <c r="B164" s="140"/>
      <c r="C164" s="141"/>
      <c r="D164" s="11">
        <f>'User Inputs'!E243</f>
        <v>0</v>
      </c>
      <c r="E164" s="2"/>
      <c r="I164" s="2"/>
      <c r="J164" s="2"/>
      <c r="K164" s="2"/>
    </row>
    <row r="165" spans="1:13">
      <c r="A165" s="6"/>
      <c r="E165" s="2"/>
      <c r="I165" s="2"/>
      <c r="J165" s="2"/>
      <c r="K165" s="2"/>
    </row>
    <row r="166" spans="1:13" ht="13.5" thickBot="1">
      <c r="A166" s="6"/>
      <c r="D166" s="60" t="s">
        <v>71</v>
      </c>
      <c r="E166" s="7" t="s">
        <v>109</v>
      </c>
      <c r="I166" s="2"/>
      <c r="M166" s="5"/>
    </row>
    <row r="167" spans="1:13" ht="13.5" thickBot="1">
      <c r="A167" s="139" t="s">
        <v>80</v>
      </c>
      <c r="B167" s="140"/>
      <c r="C167" s="141"/>
      <c r="D167" s="7">
        <f>'User Inputs'!$E$39</f>
        <v>0</v>
      </c>
      <c r="E167" s="27">
        <f>'User Inputs'!$E$34</f>
        <v>6386</v>
      </c>
      <c r="I167" s="2"/>
      <c r="M167" s="68" t="s">
        <v>105</v>
      </c>
    </row>
    <row r="168" spans="1:13">
      <c r="A168" s="139" t="s">
        <v>81</v>
      </c>
      <c r="B168" s="140"/>
      <c r="C168" s="141"/>
      <c r="D168" s="7">
        <f>'User Inputs'!$F$39</f>
        <v>0</v>
      </c>
      <c r="E168" s="27">
        <f>'User Inputs'!$F$34</f>
        <v>9971</v>
      </c>
    </row>
    <row r="169" spans="1:13">
      <c r="A169" s="139" t="s">
        <v>83</v>
      </c>
      <c r="B169" s="140"/>
      <c r="C169" s="141"/>
      <c r="D169" s="7">
        <f>'User Inputs'!$G$39</f>
        <v>0</v>
      </c>
      <c r="E169" s="27">
        <f>'User Inputs'!$G$34</f>
        <v>4997</v>
      </c>
    </row>
    <row r="170" spans="1:13">
      <c r="A170" s="225" t="s">
        <v>381</v>
      </c>
      <c r="B170" s="140"/>
      <c r="C170" s="141"/>
      <c r="D170" s="7">
        <f>'User Inputs'!$H$39</f>
        <v>0</v>
      </c>
      <c r="E170" s="27">
        <f>'User Inputs'!$H$34</f>
        <v>4209</v>
      </c>
    </row>
    <row r="171" spans="1:13">
      <c r="I171" s="2"/>
      <c r="J171" s="7" t="s">
        <v>103</v>
      </c>
      <c r="K171" s="7" t="s">
        <v>104</v>
      </c>
      <c r="M171" s="8"/>
    </row>
    <row r="172" spans="1:13">
      <c r="A172" s="169" t="s">
        <v>18</v>
      </c>
      <c r="B172" s="140"/>
      <c r="C172" s="140"/>
      <c r="D172" s="140"/>
      <c r="E172" s="140"/>
      <c r="F172" s="140"/>
      <c r="G172" s="140"/>
      <c r="H172" s="140"/>
      <c r="I172" s="170"/>
      <c r="J172" s="58">
        <f>$D$158</f>
        <v>0</v>
      </c>
      <c r="K172" s="27">
        <f>(E167*D167+E168*D168+E169*D169+E170*D170)</f>
        <v>0</v>
      </c>
      <c r="M172" s="17">
        <f>K172*J172</f>
        <v>0</v>
      </c>
    </row>
    <row r="173" spans="1:13">
      <c r="A173" s="1"/>
      <c r="I173" s="8"/>
      <c r="J173" s="2"/>
      <c r="K173" s="36"/>
      <c r="M173" s="16"/>
    </row>
    <row r="174" spans="1:13" hidden="1">
      <c r="A174" s="169" t="s">
        <v>85</v>
      </c>
      <c r="B174" s="140"/>
      <c r="C174" s="140"/>
      <c r="D174" s="140"/>
      <c r="E174" s="140"/>
      <c r="F174" s="140"/>
      <c r="G174" s="140"/>
      <c r="H174" s="140"/>
      <c r="I174" s="141"/>
      <c r="J174" s="58" t="e">
        <f>$D$7</f>
        <v>#NUM!</v>
      </c>
      <c r="K174" s="27">
        <f>'User Inputs'!$E$35*'User Inputs'!$E$39+'User Inputs'!$F$35*'User Inputs'!$F$39+'User Inputs'!$G$35*'User Inputs'!$G$39</f>
        <v>0</v>
      </c>
      <c r="M174" s="17" t="e">
        <f>K174*J174</f>
        <v>#NUM!</v>
      </c>
    </row>
    <row r="175" spans="1:13" hidden="1">
      <c r="A175" s="169" t="s">
        <v>84</v>
      </c>
      <c r="B175" s="140"/>
      <c r="C175" s="140"/>
      <c r="D175" s="140"/>
      <c r="E175" s="140"/>
      <c r="F175" s="140"/>
      <c r="G175" s="140"/>
      <c r="H175" s="140"/>
      <c r="I175" s="141"/>
      <c r="J175" s="58" t="e">
        <f>$D$7</f>
        <v>#NUM!</v>
      </c>
      <c r="K175" s="27">
        <f>'User Inputs'!$E$36*'User Inputs'!$E$39+'User Inputs'!$F$36*'User Inputs'!$F$39+'User Inputs'!$G$36*'User Inputs'!$G$39</f>
        <v>0</v>
      </c>
      <c r="M175" s="17" t="e">
        <f>K175*J175</f>
        <v>#NUM!</v>
      </c>
    </row>
    <row r="176" spans="1:13">
      <c r="A176" s="169" t="s">
        <v>110</v>
      </c>
      <c r="B176" s="140"/>
      <c r="C176" s="140"/>
      <c r="D176" s="140"/>
      <c r="E176" s="140"/>
      <c r="F176" s="140"/>
      <c r="G176" s="140"/>
      <c r="H176" s="140"/>
      <c r="I176" s="140"/>
      <c r="J176" s="86"/>
      <c r="K176" s="171"/>
      <c r="M176" s="17">
        <f>M172*0.1</f>
        <v>0</v>
      </c>
    </row>
    <row r="177" spans="1:13" ht="13.5" thickBot="1">
      <c r="A177" s="1"/>
      <c r="J177" s="2"/>
      <c r="K177" s="36"/>
      <c r="M177" s="16"/>
    </row>
    <row r="178" spans="1:13" ht="13.5" thickBot="1">
      <c r="A178" s="1" t="s">
        <v>86</v>
      </c>
      <c r="J178" s="2"/>
      <c r="K178" s="36"/>
      <c r="M178" s="63" t="e">
        <f>SUM(M172:M176)</f>
        <v>#NUM!</v>
      </c>
    </row>
    <row r="179" spans="1:13" ht="13.5" thickBot="1">
      <c r="M179" s="4"/>
    </row>
    <row r="180" spans="1:13" ht="16.5" thickBot="1">
      <c r="A180" s="9" t="s">
        <v>37</v>
      </c>
      <c r="M180" s="18" t="e">
        <f>M178</f>
        <v>#NUM!</v>
      </c>
    </row>
    <row r="181" spans="1:13">
      <c r="M181" s="4"/>
    </row>
    <row r="182" spans="1:13" ht="15.75">
      <c r="A182" s="9" t="s">
        <v>35</v>
      </c>
      <c r="M182" s="4"/>
    </row>
    <row r="183" spans="1:13">
      <c r="M183" s="4"/>
    </row>
    <row r="184" spans="1:13">
      <c r="M184" s="4"/>
    </row>
    <row r="185" spans="1:13" ht="15.75">
      <c r="A185" s="9" t="s">
        <v>317</v>
      </c>
      <c r="L185" s="4"/>
      <c r="M185" s="4"/>
    </row>
    <row r="186" spans="1:13">
      <c r="L186" s="4"/>
      <c r="M186" s="4"/>
    </row>
    <row r="187" spans="1:13">
      <c r="M187" s="4"/>
    </row>
    <row r="188" spans="1:13">
      <c r="A188" s="192" t="s">
        <v>257</v>
      </c>
      <c r="B188" s="192" t="s">
        <v>261</v>
      </c>
      <c r="M188" s="4"/>
    </row>
    <row r="189" spans="1:13">
      <c r="A189" s="7" t="s">
        <v>255</v>
      </c>
      <c r="B189" s="7" t="s">
        <v>254</v>
      </c>
      <c r="C189" s="7" t="s">
        <v>25</v>
      </c>
      <c r="F189" s="7" t="s">
        <v>258</v>
      </c>
      <c r="G189" s="7" t="s">
        <v>259</v>
      </c>
      <c r="H189" s="7" t="s">
        <v>262</v>
      </c>
      <c r="I189" s="60" t="s">
        <v>318</v>
      </c>
      <c r="K189" s="60" t="s">
        <v>321</v>
      </c>
      <c r="M189" s="13"/>
    </row>
    <row r="190" spans="1:13">
      <c r="A190" s="11">
        <f>'User Inputs'!$G$22</f>
        <v>0</v>
      </c>
      <c r="B190" s="11">
        <f>'User Inputs'!$G$23</f>
        <v>0</v>
      </c>
      <c r="C190" s="11">
        <f>IF(B190=0,0,A190*10^6/(B190*60))</f>
        <v>0</v>
      </c>
      <c r="F190" s="11">
        <f>'User Inputs'!$G$23</f>
        <v>0</v>
      </c>
      <c r="G190" s="11">
        <f>'User Inputs'!$G$27</f>
        <v>0</v>
      </c>
      <c r="H190" s="11">
        <f>(F190*G190)/(3960*0.9)</f>
        <v>0</v>
      </c>
      <c r="I190" s="200">
        <f>H190*0.746</f>
        <v>0</v>
      </c>
      <c r="K190" s="28">
        <f>'Unit Costs'!$F$55</f>
        <v>0.1027</v>
      </c>
      <c r="M190" s="17">
        <f>C190*I190*K190</f>
        <v>0</v>
      </c>
    </row>
    <row r="191" spans="1:13">
      <c r="M191" s="13"/>
    </row>
    <row r="192" spans="1:13">
      <c r="A192" s="6" t="s">
        <v>265</v>
      </c>
      <c r="M192" s="13"/>
    </row>
    <row r="193" spans="1:13" ht="13.5" thickBot="1">
      <c r="M193" s="13"/>
    </row>
    <row r="194" spans="1:13" ht="16.5" thickBot="1">
      <c r="A194" s="9" t="s">
        <v>319</v>
      </c>
      <c r="M194" s="63">
        <f>M190</f>
        <v>0</v>
      </c>
    </row>
    <row r="195" spans="1:13" ht="13.5" thickBot="1">
      <c r="M195" s="4"/>
    </row>
    <row r="196" spans="1:13" ht="16.5" thickBot="1">
      <c r="A196" s="9" t="s">
        <v>38</v>
      </c>
      <c r="M196" s="18">
        <f>M194</f>
        <v>0</v>
      </c>
    </row>
    <row r="197" spans="1:13">
      <c r="M197" s="4"/>
    </row>
    <row r="198" spans="1:13">
      <c r="M198" s="4"/>
    </row>
    <row r="199" spans="1:13">
      <c r="M199" s="4"/>
    </row>
    <row r="200" spans="1:13" ht="15">
      <c r="I200" s="23" t="s">
        <v>41</v>
      </c>
      <c r="J200" s="23" t="s">
        <v>42</v>
      </c>
      <c r="K200" s="23" t="s">
        <v>43</v>
      </c>
      <c r="L200" s="19"/>
      <c r="M200" s="23" t="s">
        <v>6</v>
      </c>
    </row>
    <row r="201" spans="1:13" ht="13.5" thickBot="1">
      <c r="M201" s="4"/>
    </row>
    <row r="202" spans="1:13" ht="18.75" thickBot="1">
      <c r="A202" s="69" t="s">
        <v>372</v>
      </c>
      <c r="I202" s="70">
        <v>0</v>
      </c>
      <c r="J202" s="70" t="e">
        <f>M180</f>
        <v>#NUM!</v>
      </c>
      <c r="K202" s="70">
        <f>M196</f>
        <v>0</v>
      </c>
      <c r="L202" s="4"/>
      <c r="M202" s="70" t="e">
        <f>SUM(I202:K202)</f>
        <v>#NUM!</v>
      </c>
    </row>
    <row r="205" spans="1:13" ht="18">
      <c r="A205" s="69" t="s">
        <v>369</v>
      </c>
    </row>
    <row r="206" spans="1:13" ht="13.5" thickBot="1"/>
    <row r="207" spans="1:13" ht="16.5" thickBot="1">
      <c r="A207" s="279">
        <f>'User Inputs'!C13</f>
        <v>0</v>
      </c>
      <c r="B207" s="280"/>
      <c r="C207" s="281"/>
    </row>
    <row r="208" spans="1:13" ht="15.75">
      <c r="A208" s="9"/>
    </row>
    <row r="209" spans="1:13">
      <c r="A209" t="s">
        <v>113</v>
      </c>
      <c r="D209" s="96">
        <f>'User Inputs'!H46</f>
        <v>0</v>
      </c>
    </row>
    <row r="210" spans="1:13" ht="15.75">
      <c r="A210" s="9"/>
    </row>
    <row r="211" spans="1:13" ht="15.75">
      <c r="A211" s="9" t="s">
        <v>8</v>
      </c>
    </row>
    <row r="212" spans="1:13">
      <c r="A212" s="32" t="s">
        <v>58</v>
      </c>
    </row>
    <row r="213" spans="1:13">
      <c r="A213" s="169" t="s">
        <v>9</v>
      </c>
      <c r="B213" s="141"/>
      <c r="M213" s="8"/>
    </row>
    <row r="214" spans="1:13">
      <c r="A214" s="139" t="s">
        <v>47</v>
      </c>
      <c r="B214" s="140"/>
      <c r="C214" s="141"/>
      <c r="D214" s="7">
        <f>'User Inputs'!E285</f>
        <v>0</v>
      </c>
      <c r="M214" s="8"/>
    </row>
    <row r="215" spans="1:13">
      <c r="A215" s="139" t="s">
        <v>106</v>
      </c>
      <c r="B215" s="140"/>
      <c r="C215" s="141"/>
      <c r="D215" s="11">
        <f>'User Inputs'!E289</f>
        <v>0</v>
      </c>
      <c r="E215" s="2"/>
      <c r="I215" s="2"/>
      <c r="J215" s="2"/>
      <c r="K215" s="2"/>
    </row>
    <row r="216" spans="1:13">
      <c r="A216" s="6"/>
      <c r="E216" s="2"/>
      <c r="I216" s="2"/>
      <c r="J216" s="2"/>
      <c r="K216" s="2"/>
    </row>
    <row r="217" spans="1:13" ht="13.5" thickBot="1">
      <c r="A217" s="6"/>
      <c r="D217" s="60" t="s">
        <v>71</v>
      </c>
      <c r="E217" s="7" t="s">
        <v>109</v>
      </c>
      <c r="I217" s="2"/>
      <c r="M217" s="5"/>
    </row>
    <row r="218" spans="1:13" ht="13.5" thickBot="1">
      <c r="A218" s="139" t="s">
        <v>80</v>
      </c>
      <c r="B218" s="140"/>
      <c r="C218" s="141"/>
      <c r="D218" s="7">
        <f>'User Inputs'!$E$40</f>
        <v>0</v>
      </c>
      <c r="E218" s="27">
        <f>'User Inputs'!$E$34</f>
        <v>6386</v>
      </c>
      <c r="I218" s="2"/>
      <c r="M218" s="68" t="s">
        <v>105</v>
      </c>
    </row>
    <row r="219" spans="1:13">
      <c r="A219" s="139" t="s">
        <v>81</v>
      </c>
      <c r="B219" s="140"/>
      <c r="C219" s="141"/>
      <c r="D219" s="7">
        <f>'User Inputs'!$F$40</f>
        <v>0</v>
      </c>
      <c r="E219" s="27">
        <f>'User Inputs'!$F$34</f>
        <v>9971</v>
      </c>
    </row>
    <row r="220" spans="1:13">
      <c r="A220" s="139" t="s">
        <v>83</v>
      </c>
      <c r="B220" s="140"/>
      <c r="C220" s="141"/>
      <c r="D220" s="7">
        <f>'User Inputs'!$G$40</f>
        <v>0</v>
      </c>
      <c r="E220" s="27">
        <f>'User Inputs'!$G$34</f>
        <v>4997</v>
      </c>
    </row>
    <row r="221" spans="1:13">
      <c r="A221" s="225" t="s">
        <v>381</v>
      </c>
      <c r="B221" s="140"/>
      <c r="C221" s="141"/>
      <c r="D221" s="7">
        <f>'User Inputs'!$H$40</f>
        <v>0</v>
      </c>
      <c r="E221" s="27">
        <f>'User Inputs'!$H$34</f>
        <v>4209</v>
      </c>
    </row>
    <row r="222" spans="1:13">
      <c r="I222" s="2"/>
      <c r="J222" s="7" t="s">
        <v>103</v>
      </c>
      <c r="K222" s="7" t="s">
        <v>104</v>
      </c>
      <c r="M222" s="8"/>
    </row>
    <row r="223" spans="1:13">
      <c r="A223" s="169" t="s">
        <v>18</v>
      </c>
      <c r="B223" s="140"/>
      <c r="C223" s="140"/>
      <c r="D223" s="140"/>
      <c r="E223" s="140"/>
      <c r="F223" s="140"/>
      <c r="G223" s="140"/>
      <c r="H223" s="140"/>
      <c r="I223" s="170"/>
      <c r="J223" s="58">
        <f>$D$209</f>
        <v>0</v>
      </c>
      <c r="K223" s="27">
        <f>(E218*D218+E219*D219+E220*D220+E221*D221)</f>
        <v>0</v>
      </c>
      <c r="M223" s="17">
        <f>K223*J223</f>
        <v>0</v>
      </c>
    </row>
    <row r="224" spans="1:13">
      <c r="A224" s="1"/>
      <c r="I224" s="8"/>
      <c r="J224" s="2"/>
      <c r="K224" s="36"/>
      <c r="M224" s="16"/>
    </row>
    <row r="225" spans="1:13" hidden="1">
      <c r="A225" s="169" t="s">
        <v>85</v>
      </c>
      <c r="B225" s="140"/>
      <c r="C225" s="140"/>
      <c r="D225" s="140"/>
      <c r="E225" s="140"/>
      <c r="F225" s="140"/>
      <c r="G225" s="140"/>
      <c r="H225" s="140"/>
      <c r="I225" s="141"/>
      <c r="J225" s="7">
        <v>6</v>
      </c>
      <c r="K225" s="27">
        <f>'User Inputs'!$E$35*'User Inputs'!$E$40+'User Inputs'!$F$35*'User Inputs'!$F$40+'User Inputs'!$G$35*'User Inputs'!$G$40</f>
        <v>0</v>
      </c>
      <c r="M225" s="17">
        <f>K225*J225</f>
        <v>0</v>
      </c>
    </row>
    <row r="226" spans="1:13" hidden="1">
      <c r="A226" s="169" t="s">
        <v>84</v>
      </c>
      <c r="B226" s="140"/>
      <c r="C226" s="140"/>
      <c r="D226" s="140"/>
      <c r="E226" s="140"/>
      <c r="F226" s="140"/>
      <c r="G226" s="140"/>
      <c r="H226" s="140"/>
      <c r="I226" s="141"/>
      <c r="J226" s="7">
        <v>6</v>
      </c>
      <c r="K226" s="27">
        <f>'User Inputs'!$E$36*'User Inputs'!$E$40+'User Inputs'!$F$36*'User Inputs'!$F$40+'User Inputs'!$G$36*'User Inputs'!$G$40</f>
        <v>0</v>
      </c>
      <c r="M226" s="17">
        <f>K226*J226</f>
        <v>0</v>
      </c>
    </row>
    <row r="227" spans="1:13">
      <c r="A227" s="169" t="s">
        <v>110</v>
      </c>
      <c r="B227" s="140"/>
      <c r="C227" s="140"/>
      <c r="D227" s="140"/>
      <c r="E227" s="140"/>
      <c r="F227" s="140"/>
      <c r="G227" s="140"/>
      <c r="H227" s="140"/>
      <c r="I227" s="140"/>
      <c r="J227" s="86"/>
      <c r="K227" s="171"/>
      <c r="M227" s="17">
        <f>M223*0.1</f>
        <v>0</v>
      </c>
    </row>
    <row r="228" spans="1:13" ht="13.5" thickBot="1">
      <c r="A228" s="1"/>
      <c r="J228" s="2"/>
      <c r="K228" s="36"/>
      <c r="M228" s="16"/>
    </row>
    <row r="229" spans="1:13" ht="13.5" thickBot="1">
      <c r="A229" s="1" t="s">
        <v>86</v>
      </c>
      <c r="J229" s="2"/>
      <c r="K229" s="36"/>
      <c r="M229" s="63">
        <f>SUM(M223:M227)</f>
        <v>0</v>
      </c>
    </row>
    <row r="230" spans="1:13" ht="13.5" thickBot="1">
      <c r="M230" s="4"/>
    </row>
    <row r="231" spans="1:13" ht="16.5" thickBot="1">
      <c r="A231" s="9" t="s">
        <v>37</v>
      </c>
      <c r="M231" s="18">
        <f>M229</f>
        <v>0</v>
      </c>
    </row>
    <row r="232" spans="1:13">
      <c r="M232" s="4"/>
    </row>
    <row r="233" spans="1:13" ht="15.75">
      <c r="A233" s="9" t="s">
        <v>35</v>
      </c>
      <c r="M233" s="4"/>
    </row>
    <row r="234" spans="1:13">
      <c r="M234" s="4"/>
    </row>
    <row r="235" spans="1:13">
      <c r="M235" s="4"/>
    </row>
    <row r="236" spans="1:13" ht="15.75">
      <c r="A236" s="9" t="s">
        <v>317</v>
      </c>
      <c r="L236" s="4"/>
      <c r="M236" s="4"/>
    </row>
    <row r="237" spans="1:13">
      <c r="L237" s="4"/>
      <c r="M237" s="4"/>
    </row>
    <row r="238" spans="1:13">
      <c r="M238" s="4"/>
    </row>
    <row r="239" spans="1:13">
      <c r="A239" s="192" t="s">
        <v>257</v>
      </c>
      <c r="B239" s="192" t="s">
        <v>261</v>
      </c>
      <c r="M239" s="4"/>
    </row>
    <row r="240" spans="1:13">
      <c r="A240" s="7" t="s">
        <v>255</v>
      </c>
      <c r="B240" s="7" t="s">
        <v>254</v>
      </c>
      <c r="C240" s="7" t="s">
        <v>25</v>
      </c>
      <c r="F240" s="7" t="s">
        <v>258</v>
      </c>
      <c r="G240" s="7" t="s">
        <v>259</v>
      </c>
      <c r="H240" s="7" t="s">
        <v>262</v>
      </c>
      <c r="I240" s="60" t="s">
        <v>318</v>
      </c>
      <c r="K240" s="60" t="s">
        <v>321</v>
      </c>
      <c r="M240" s="13"/>
    </row>
    <row r="241" spans="1:13">
      <c r="A241" s="11">
        <f>'User Inputs'!$H$22</f>
        <v>0</v>
      </c>
      <c r="B241" s="11">
        <f>'User Inputs'!$H$23</f>
        <v>0</v>
      </c>
      <c r="C241" s="11">
        <f>IF(B241=0,0,A241*10^6/(B241*60))</f>
        <v>0</v>
      </c>
      <c r="F241" s="11">
        <f>'User Inputs'!$H$23</f>
        <v>0</v>
      </c>
      <c r="G241" s="11">
        <f>'User Inputs'!$H$27</f>
        <v>0</v>
      </c>
      <c r="H241" s="11">
        <f>(F241*G241)/(3960*0.9)</f>
        <v>0</v>
      </c>
      <c r="I241" s="200">
        <f>H241*0.746</f>
        <v>0</v>
      </c>
      <c r="K241" s="28">
        <f>'Unit Costs'!$F$55</f>
        <v>0.1027</v>
      </c>
      <c r="M241" s="17">
        <f>C241*I241*K241</f>
        <v>0</v>
      </c>
    </row>
    <row r="242" spans="1:13">
      <c r="M242" s="13"/>
    </row>
    <row r="243" spans="1:13">
      <c r="A243" s="6" t="s">
        <v>265</v>
      </c>
      <c r="M243" s="13"/>
    </row>
    <row r="244" spans="1:13" ht="13.5" thickBot="1">
      <c r="M244" s="13"/>
    </row>
    <row r="245" spans="1:13" ht="16.5" thickBot="1">
      <c r="A245" s="9" t="s">
        <v>319</v>
      </c>
      <c r="M245" s="63">
        <f>M241</f>
        <v>0</v>
      </c>
    </row>
    <row r="246" spans="1:13" ht="13.5" thickBot="1">
      <c r="M246" s="4"/>
    </row>
    <row r="247" spans="1:13" ht="16.5" thickBot="1">
      <c r="A247" s="9" t="s">
        <v>38</v>
      </c>
      <c r="M247" s="18">
        <f>M245</f>
        <v>0</v>
      </c>
    </row>
    <row r="248" spans="1:13">
      <c r="M248" s="4"/>
    </row>
    <row r="249" spans="1:13">
      <c r="M249" s="4"/>
    </row>
    <row r="250" spans="1:13">
      <c r="M250" s="4"/>
    </row>
    <row r="251" spans="1:13" ht="15">
      <c r="I251" s="23" t="s">
        <v>41</v>
      </c>
      <c r="J251" s="23" t="s">
        <v>42</v>
      </c>
      <c r="K251" s="23" t="s">
        <v>43</v>
      </c>
      <c r="L251" s="19"/>
      <c r="M251" s="23" t="s">
        <v>6</v>
      </c>
    </row>
    <row r="252" spans="1:13" ht="13.5" thickBot="1">
      <c r="M252" s="4"/>
    </row>
    <row r="253" spans="1:13" ht="18.75" thickBot="1">
      <c r="A253" s="69" t="s">
        <v>373</v>
      </c>
      <c r="I253" s="70">
        <v>0</v>
      </c>
      <c r="J253" s="70">
        <f>M231</f>
        <v>0</v>
      </c>
      <c r="K253" s="70">
        <f>M247</f>
        <v>0</v>
      </c>
      <c r="L253" s="4"/>
      <c r="M253" s="70">
        <f>SUM(I253:K253)</f>
        <v>0</v>
      </c>
    </row>
    <row r="255" spans="1:13" ht="13.5" thickBot="1">
      <c r="M255" s="4"/>
    </row>
    <row r="256" spans="1:13" ht="18.75" thickBot="1">
      <c r="A256" s="69" t="s">
        <v>374</v>
      </c>
      <c r="I256" s="70">
        <v>0</v>
      </c>
      <c r="J256" s="70" t="e">
        <f>J100+J151+J202+J253</f>
        <v>#NUM!</v>
      </c>
      <c r="K256" s="70">
        <f>K100+K151+K202+K253</f>
        <v>0</v>
      </c>
      <c r="L256" s="4"/>
      <c r="M256" s="70" t="e">
        <f>SUM(I256:K256)</f>
        <v>#NUM!</v>
      </c>
    </row>
    <row r="265" spans="5:13" ht="18">
      <c r="E265" s="261" t="s">
        <v>223</v>
      </c>
      <c r="F265" s="261"/>
      <c r="G265" s="261"/>
      <c r="H265" s="261"/>
      <c r="I265" s="261"/>
      <c r="J265" s="261"/>
      <c r="K265" s="261"/>
      <c r="L265" s="261"/>
      <c r="M265" s="261"/>
    </row>
    <row r="266" spans="5:13" ht="18">
      <c r="E266" s="173"/>
      <c r="F266" s="173"/>
      <c r="G266" s="173"/>
      <c r="H266" s="173"/>
      <c r="I266" s="173"/>
      <c r="J266" s="173"/>
      <c r="K266" s="173"/>
      <c r="L266" s="173"/>
      <c r="M266" s="173"/>
    </row>
    <row r="267" spans="5:13" ht="13.5" thickBot="1"/>
    <row r="268" spans="5:13" ht="15.75" thickBot="1">
      <c r="H268" s="23" t="s">
        <v>41</v>
      </c>
      <c r="I268" s="23" t="s">
        <v>42</v>
      </c>
      <c r="J268" s="23" t="s">
        <v>43</v>
      </c>
      <c r="K268" s="19"/>
      <c r="L268" s="19"/>
      <c r="M268" s="176" t="s">
        <v>105</v>
      </c>
    </row>
    <row r="269" spans="5:13" ht="13.5" thickBot="1"/>
    <row r="270" spans="5:13" ht="18.75" thickBot="1">
      <c r="E270" s="69" t="s">
        <v>220</v>
      </c>
      <c r="H270" s="70" t="e">
        <f>I49</f>
        <v>#NUM!</v>
      </c>
      <c r="I270" s="70" t="e">
        <f>J49</f>
        <v>#NUM!</v>
      </c>
      <c r="J270" s="70" t="e">
        <f>K49</f>
        <v>#NUM!</v>
      </c>
      <c r="K270" s="4"/>
      <c r="L270" s="172"/>
      <c r="M270" s="70" t="e">
        <f>SUM(H270:J270)</f>
        <v>#NUM!</v>
      </c>
    </row>
    <row r="271" spans="5:13" ht="18.75" thickBot="1">
      <c r="E271" s="69" t="s">
        <v>221</v>
      </c>
      <c r="H271" s="172"/>
      <c r="I271" s="172"/>
      <c r="J271" s="172"/>
      <c r="K271" s="4"/>
      <c r="L271" s="172"/>
    </row>
    <row r="272" spans="5:13" ht="18.75" thickBot="1">
      <c r="E272" s="69" t="s">
        <v>340</v>
      </c>
      <c r="H272" s="70">
        <f>I100</f>
        <v>0</v>
      </c>
      <c r="I272" s="70">
        <f>J100</f>
        <v>0</v>
      </c>
      <c r="J272" s="70">
        <f>K100</f>
        <v>0</v>
      </c>
      <c r="K272" s="4"/>
      <c r="L272" s="172"/>
      <c r="M272" s="70">
        <f>SUM(H272:J272)</f>
        <v>0</v>
      </c>
    </row>
    <row r="273" spans="5:13" ht="18.75" thickBot="1">
      <c r="E273" s="69" t="s">
        <v>341</v>
      </c>
      <c r="H273" s="70">
        <f>I151</f>
        <v>0</v>
      </c>
      <c r="I273" s="70">
        <f>J151</f>
        <v>0</v>
      </c>
      <c r="J273" s="70">
        <f>K151</f>
        <v>0</v>
      </c>
      <c r="K273" s="4"/>
      <c r="L273" s="172"/>
      <c r="M273" s="70">
        <f>SUM(H273:J273)</f>
        <v>0</v>
      </c>
    </row>
    <row r="274" spans="5:13" ht="18.75" thickBot="1">
      <c r="E274" s="69" t="s">
        <v>342</v>
      </c>
      <c r="H274" s="70">
        <f>I202</f>
        <v>0</v>
      </c>
      <c r="I274" s="70" t="e">
        <f>J202</f>
        <v>#NUM!</v>
      </c>
      <c r="J274" s="70">
        <f>K202</f>
        <v>0</v>
      </c>
      <c r="K274" s="4"/>
      <c r="L274" s="172"/>
      <c r="M274" s="70" t="e">
        <f>SUM(H274:J274)</f>
        <v>#NUM!</v>
      </c>
    </row>
    <row r="275" spans="5:13" ht="18.75" thickBot="1">
      <c r="E275" s="69" t="s">
        <v>343</v>
      </c>
      <c r="H275" s="70">
        <f>I253</f>
        <v>0</v>
      </c>
      <c r="I275" s="70">
        <f>J253</f>
        <v>0</v>
      </c>
      <c r="J275" s="70">
        <f>K253</f>
        <v>0</v>
      </c>
      <c r="K275" s="4"/>
      <c r="L275" s="172"/>
      <c r="M275" s="70">
        <f>SUM(H275:J275)</f>
        <v>0</v>
      </c>
    </row>
    <row r="276" spans="5:13" ht="13.5" thickBot="1"/>
    <row r="277" spans="5:13" ht="18.75" thickBot="1">
      <c r="E277" s="69" t="s">
        <v>222</v>
      </c>
      <c r="H277" s="70" t="e">
        <f>SUM(H270:H275)</f>
        <v>#NUM!</v>
      </c>
      <c r="I277" s="70" t="e">
        <f>SUM(I270:I275)</f>
        <v>#NUM!</v>
      </c>
      <c r="J277" s="70" t="e">
        <f>SUM(J270:J275)</f>
        <v>#NUM!</v>
      </c>
      <c r="K277" s="4"/>
      <c r="L277" s="172"/>
      <c r="M277" s="70" t="e">
        <f>SUM(H277:J277)</f>
        <v>#NUM!</v>
      </c>
    </row>
  </sheetData>
  <sheetProtection algorithmName="SHA-512" hashValue="SY9D280tciVZSBOQSnuZNtO6FWQznwW+54/XV/ZHOohuRrZFrBl4JW+CmGnnAOWJcVLO8MLZxSZruiDcZEyEeg==" saltValue="jqQA9bqCY52aQ1zWGMX7TQ==" spinCount="100000" sheet="1" objects="1" scenarios="1"/>
  <mergeCells count="5">
    <mergeCell ref="E265:M265"/>
    <mergeCell ref="A54:C54"/>
    <mergeCell ref="A105:C105"/>
    <mergeCell ref="A156:C156"/>
    <mergeCell ref="A207:C207"/>
  </mergeCells>
  <phoneticPr fontId="2" type="noConversion"/>
  <pageMargins left="0.75" right="0.75" top="1" bottom="1" header="0.5" footer="0.5"/>
  <pageSetup scale="62" orientation="landscape" r:id="rId1"/>
  <headerFooter alignWithMargins="0">
    <oddHeader>&amp;C&amp;"Arial,Bold"&amp;16PROCESS FLUID STABILIZATION
PHASE I&amp;R&amp;D</oddHeader>
    <oddFooter>&amp;L&amp;F&amp;C&amp;A&amp;RPage &amp;P of &amp;N</oddFooter>
  </headerFooter>
  <rowBreaks count="5" manualBreakCount="5">
    <brk id="49" max="16383" man="1"/>
    <brk id="100" max="16383" man="1"/>
    <brk id="151" max="16383" man="1"/>
    <brk id="202" max="16383" man="1"/>
    <brk id="2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2:M52"/>
  <sheetViews>
    <sheetView zoomScaleNormal="100" workbookViewId="0">
      <selection activeCell="E5" sqref="E5"/>
    </sheetView>
  </sheetViews>
  <sheetFormatPr defaultRowHeight="12.75"/>
  <cols>
    <col min="1" max="3" width="9.28515625" bestFit="1" customWidth="1"/>
    <col min="4" max="4" width="9.5703125" bestFit="1" customWidth="1"/>
    <col min="5" max="5" width="11.28515625" bestFit="1" customWidth="1"/>
    <col min="6" max="6" width="12.140625" bestFit="1" customWidth="1"/>
    <col min="7" max="7" width="12.5703125" customWidth="1"/>
    <col min="8" max="8" width="11.28515625" bestFit="1" customWidth="1"/>
    <col min="9" max="9" width="15.140625" bestFit="1" customWidth="1"/>
    <col min="10" max="10" width="13" bestFit="1" customWidth="1"/>
    <col min="11" max="11" width="13.42578125" bestFit="1" customWidth="1"/>
    <col min="12" max="12" width="13.28515625" bestFit="1" customWidth="1"/>
    <col min="13" max="13" width="15.140625" bestFit="1" customWidth="1"/>
  </cols>
  <sheetData>
    <row r="2" spans="1:13" ht="18">
      <c r="A2" s="69" t="s">
        <v>368</v>
      </c>
    </row>
    <row r="3" spans="1:13">
      <c r="A3" s="32" t="s">
        <v>58</v>
      </c>
    </row>
    <row r="4" spans="1:13">
      <c r="F4" s="1"/>
      <c r="M4" s="5"/>
    </row>
    <row r="5" spans="1:13" ht="15.75">
      <c r="A5" s="9" t="s">
        <v>7</v>
      </c>
      <c r="F5" s="1"/>
      <c r="M5" s="5"/>
    </row>
    <row r="7" spans="1:13">
      <c r="A7" s="6" t="s">
        <v>249</v>
      </c>
      <c r="D7" s="96" t="e">
        <f>'User Inputs'!I47</f>
        <v>#NUM!</v>
      </c>
      <c r="M7" s="5"/>
    </row>
    <row r="8" spans="1:13" ht="13.5" thickBot="1">
      <c r="A8" s="6"/>
      <c r="D8" s="157"/>
      <c r="M8" s="5"/>
    </row>
    <row r="9" spans="1:13" ht="13.5" thickBot="1">
      <c r="M9" s="68" t="s">
        <v>105</v>
      </c>
    </row>
    <row r="10" spans="1:13">
      <c r="A10" s="1" t="s">
        <v>188</v>
      </c>
      <c r="D10" s="7" t="s">
        <v>91</v>
      </c>
      <c r="E10" s="7" t="s">
        <v>92</v>
      </c>
      <c r="F10" s="7" t="s">
        <v>93</v>
      </c>
      <c r="G10" s="7" t="s">
        <v>94</v>
      </c>
      <c r="H10" s="7" t="s">
        <v>95</v>
      </c>
      <c r="I10" s="7" t="s">
        <v>96</v>
      </c>
      <c r="J10" s="7" t="s">
        <v>97</v>
      </c>
      <c r="K10" s="7" t="s">
        <v>99</v>
      </c>
    </row>
    <row r="11" spans="1:13">
      <c r="A11" t="s">
        <v>0</v>
      </c>
      <c r="D11" s="7">
        <v>2</v>
      </c>
      <c r="E11" s="7">
        <v>12</v>
      </c>
      <c r="F11" s="7">
        <v>1</v>
      </c>
      <c r="G11" s="7">
        <v>5</v>
      </c>
      <c r="H11" s="7">
        <f>D11*E11*F11*G11</f>
        <v>120</v>
      </c>
      <c r="I11" s="59">
        <f>H11*52/12</f>
        <v>520</v>
      </c>
      <c r="J11" s="11" t="e">
        <f>I11*$D$7</f>
        <v>#NUM!</v>
      </c>
      <c r="K11" s="57">
        <f>'IFM '!K9</f>
        <v>61.332250000000002</v>
      </c>
      <c r="L11" s="2"/>
      <c r="M11" s="53" t="e">
        <f>K11*J11</f>
        <v>#NUM!</v>
      </c>
    </row>
    <row r="12" spans="1:13">
      <c r="A12" t="s">
        <v>1</v>
      </c>
      <c r="D12" s="7">
        <v>1</v>
      </c>
      <c r="E12" s="7">
        <v>12</v>
      </c>
      <c r="F12" s="7">
        <v>2</v>
      </c>
      <c r="G12" s="7">
        <v>7</v>
      </c>
      <c r="H12" s="7">
        <f>D12*E12*F12*G12</f>
        <v>168</v>
      </c>
      <c r="I12" s="59">
        <f>H12*52/12</f>
        <v>728</v>
      </c>
      <c r="J12" s="11" t="e">
        <f>I12*$D$7</f>
        <v>#NUM!</v>
      </c>
      <c r="K12" s="57">
        <f>'IFM '!K10</f>
        <v>61.028624999999998</v>
      </c>
      <c r="L12" s="2"/>
      <c r="M12" s="53" t="e">
        <f>K12*J12</f>
        <v>#NUM!</v>
      </c>
    </row>
    <row r="13" spans="1:13">
      <c r="A13" t="s">
        <v>2</v>
      </c>
      <c r="D13" s="7">
        <v>1</v>
      </c>
      <c r="E13" s="7">
        <v>8</v>
      </c>
      <c r="F13" s="7">
        <v>1</v>
      </c>
      <c r="G13" s="7">
        <v>2</v>
      </c>
      <c r="H13" s="7">
        <f>D13*E13*F13*G13</f>
        <v>16</v>
      </c>
      <c r="I13" s="59">
        <f>H13*52/12</f>
        <v>69.333333333333329</v>
      </c>
      <c r="J13" s="11" t="e">
        <f>I13*$D$7</f>
        <v>#NUM!</v>
      </c>
      <c r="K13" s="57">
        <f>'IFM '!K11</f>
        <v>86.885329999999982</v>
      </c>
      <c r="L13" s="2"/>
      <c r="M13" s="53" t="e">
        <f>K13*J13</f>
        <v>#NUM!</v>
      </c>
    </row>
    <row r="14" spans="1:13">
      <c r="A14" t="s">
        <v>4</v>
      </c>
      <c r="D14" s="7">
        <v>1</v>
      </c>
      <c r="E14" s="7">
        <v>8</v>
      </c>
      <c r="F14" s="7">
        <v>1</v>
      </c>
      <c r="G14" s="7">
        <v>2</v>
      </c>
      <c r="H14" s="7">
        <f>D14*E14*F14*G14</f>
        <v>16</v>
      </c>
      <c r="I14" s="59">
        <f>H14*52/12</f>
        <v>69.333333333333329</v>
      </c>
      <c r="J14" s="11" t="e">
        <f>I14*$D$7</f>
        <v>#NUM!</v>
      </c>
      <c r="K14" s="57">
        <f>'IFM '!K12</f>
        <v>81.295593749999981</v>
      </c>
      <c r="L14" s="2"/>
      <c r="M14" s="53" t="e">
        <f>K14*J14</f>
        <v>#NUM!</v>
      </c>
    </row>
    <row r="15" spans="1:13">
      <c r="D15" s="2"/>
      <c r="E15" s="2"/>
      <c r="F15" s="2"/>
      <c r="G15" s="2"/>
      <c r="H15" s="2"/>
      <c r="I15" s="80"/>
      <c r="J15" s="24"/>
      <c r="K15" s="177"/>
      <c r="L15" s="2"/>
      <c r="M15" s="13"/>
    </row>
    <row r="16" spans="1:13">
      <c r="D16" s="2"/>
      <c r="E16" s="2"/>
      <c r="F16" s="2"/>
      <c r="G16" s="2"/>
      <c r="H16" s="2"/>
      <c r="I16" s="80"/>
      <c r="J16" s="24"/>
      <c r="K16" s="177"/>
      <c r="L16" s="2"/>
      <c r="M16" s="13"/>
    </row>
    <row r="17" spans="1:13" ht="13.5" thickBot="1">
      <c r="I17" s="10"/>
      <c r="K17" s="3"/>
      <c r="M17" s="13"/>
    </row>
    <row r="18" spans="1:13" ht="16.5" thickBot="1">
      <c r="A18" s="9" t="s">
        <v>36</v>
      </c>
      <c r="I18" s="10"/>
      <c r="M18" s="62" t="e">
        <f>SUM(M11:M14)</f>
        <v>#NUM!</v>
      </c>
    </row>
    <row r="19" spans="1:13" ht="15.75">
      <c r="A19" s="9"/>
      <c r="I19" s="10"/>
      <c r="M19" s="93"/>
    </row>
    <row r="20" spans="1:13">
      <c r="M20" s="8"/>
    </row>
    <row r="21" spans="1:13" ht="15.75">
      <c r="A21" s="9" t="s">
        <v>8</v>
      </c>
      <c r="D21" s="2"/>
      <c r="E21" s="2"/>
      <c r="F21" s="2"/>
      <c r="G21" s="2"/>
      <c r="M21" s="8"/>
    </row>
    <row r="22" spans="1:13">
      <c r="H22" s="7" t="s">
        <v>276</v>
      </c>
      <c r="I22" s="7" t="s">
        <v>270</v>
      </c>
      <c r="J22" s="192" t="s">
        <v>272</v>
      </c>
      <c r="K22" s="7" t="s">
        <v>108</v>
      </c>
      <c r="M22" s="8"/>
    </row>
    <row r="23" spans="1:13">
      <c r="A23" s="1" t="s">
        <v>16</v>
      </c>
      <c r="F23" s="7" t="s">
        <v>102</v>
      </c>
      <c r="G23" s="79" t="s">
        <v>103</v>
      </c>
      <c r="H23" s="7" t="s">
        <v>273</v>
      </c>
      <c r="I23" s="7" t="s">
        <v>274</v>
      </c>
      <c r="J23" s="7" t="s">
        <v>275</v>
      </c>
      <c r="K23" s="7" t="s">
        <v>273</v>
      </c>
      <c r="M23" s="8"/>
    </row>
    <row r="24" spans="1:13">
      <c r="A24" t="s">
        <v>10</v>
      </c>
      <c r="F24" s="7">
        <v>1</v>
      </c>
      <c r="G24" s="7" t="e">
        <f>$D$7</f>
        <v>#NUM!</v>
      </c>
      <c r="H24" s="61">
        <f>'Unit Costs'!$F30</f>
        <v>4095</v>
      </c>
      <c r="I24" s="54">
        <f>176*$H$33</f>
        <v>17.600000000000001</v>
      </c>
      <c r="J24" s="57">
        <f>'Unit Costs'!G30</f>
        <v>24.041666666666664</v>
      </c>
      <c r="K24" s="61">
        <f>H24+(I24*J24)</f>
        <v>4518.1333333333332</v>
      </c>
      <c r="M24" s="53" t="e">
        <f>K24*F24*G24</f>
        <v>#NUM!</v>
      </c>
    </row>
    <row r="25" spans="1:13">
      <c r="A25" s="6" t="s">
        <v>13</v>
      </c>
      <c r="F25" s="7">
        <v>1</v>
      </c>
      <c r="G25" s="7" t="e">
        <f>$D$7</f>
        <v>#NUM!</v>
      </c>
      <c r="H25" s="61">
        <f>'Unit Costs'!$F31</f>
        <v>1865.6</v>
      </c>
      <c r="I25" s="54">
        <f>176*$H$33</f>
        <v>17.600000000000001</v>
      </c>
      <c r="J25" s="57">
        <f>'Unit Costs'!G31</f>
        <v>2.65</v>
      </c>
      <c r="K25" s="61">
        <f>H25+(I25*J25)</f>
        <v>1912.24</v>
      </c>
      <c r="M25" s="53" t="e">
        <f t="shared" ref="M25:M31" si="0">K25*F25*G25</f>
        <v>#NUM!</v>
      </c>
    </row>
    <row r="26" spans="1:13">
      <c r="A26" s="6" t="s">
        <v>11</v>
      </c>
      <c r="F26" s="7">
        <v>2</v>
      </c>
      <c r="G26" s="7" t="e">
        <f>$D$7</f>
        <v>#NUM!</v>
      </c>
      <c r="H26" s="61">
        <f>'Unit Costs'!$F32</f>
        <v>5178.8</v>
      </c>
      <c r="I26" s="54">
        <f>176*$H$33</f>
        <v>17.600000000000001</v>
      </c>
      <c r="J26" s="57">
        <f>'Unit Costs'!G32</f>
        <v>6.8294117647058821</v>
      </c>
      <c r="K26" s="61">
        <f>H26+(I26*J26)</f>
        <v>5298.9976470588235</v>
      </c>
      <c r="M26" s="53" t="e">
        <f t="shared" si="0"/>
        <v>#NUM!</v>
      </c>
    </row>
    <row r="27" spans="1:13">
      <c r="A27" t="s">
        <v>17</v>
      </c>
      <c r="F27" s="7">
        <v>1</v>
      </c>
      <c r="G27" s="7">
        <f>IF('User Inputs'!$E$73="yes",CEILING($D$7/4,3),0)</f>
        <v>0</v>
      </c>
      <c r="H27" s="61">
        <f>'Unit Costs'!$F33</f>
        <v>17850</v>
      </c>
      <c r="I27" s="54">
        <f>176*$H$33</f>
        <v>17.600000000000001</v>
      </c>
      <c r="J27" s="57">
        <f>'Unit Costs'!G33</f>
        <v>56.445357142857148</v>
      </c>
      <c r="K27" s="61">
        <f>H27+(I27*J27)</f>
        <v>18843.438285714285</v>
      </c>
      <c r="M27" s="53">
        <f t="shared" si="0"/>
        <v>0</v>
      </c>
    </row>
    <row r="28" spans="1:13">
      <c r="A28" s="6" t="s">
        <v>14</v>
      </c>
      <c r="F28" s="7">
        <v>1</v>
      </c>
      <c r="G28" s="7" t="e">
        <f>$D$7</f>
        <v>#NUM!</v>
      </c>
      <c r="H28" s="61">
        <f>'Unit Costs'!$F34</f>
        <v>3506.8</v>
      </c>
      <c r="I28" s="57" t="str">
        <f>J28</f>
        <v>n/a</v>
      </c>
      <c r="J28" s="57" t="str">
        <f>'Unit Costs'!G34</f>
        <v>n/a</v>
      </c>
      <c r="K28" s="61">
        <f>H28</f>
        <v>3506.8</v>
      </c>
      <c r="M28" s="53" t="e">
        <f t="shared" si="0"/>
        <v>#NUM!</v>
      </c>
    </row>
    <row r="29" spans="1:13">
      <c r="A29" t="s">
        <v>15</v>
      </c>
      <c r="F29" s="7">
        <v>1</v>
      </c>
      <c r="G29" s="7" t="e">
        <f>CEILING($D$7/12,1)</f>
        <v>#NUM!</v>
      </c>
      <c r="H29" s="61">
        <f>'Unit Costs'!$F35</f>
        <v>7378.8</v>
      </c>
      <c r="I29" s="57" t="str">
        <f>J29</f>
        <v>n/a</v>
      </c>
      <c r="J29" s="57" t="str">
        <f>'Unit Costs'!G35</f>
        <v>n/a</v>
      </c>
      <c r="K29" s="61">
        <f>H29</f>
        <v>7378.8</v>
      </c>
      <c r="M29" s="53" t="e">
        <f t="shared" si="0"/>
        <v>#NUM!</v>
      </c>
    </row>
    <row r="30" spans="1:13">
      <c r="A30" t="s">
        <v>111</v>
      </c>
      <c r="F30" s="7">
        <v>1</v>
      </c>
      <c r="G30" s="7" t="e">
        <f>$D$7</f>
        <v>#NUM!</v>
      </c>
      <c r="H30" s="61">
        <f>'Unit Costs'!$F36</f>
        <v>330</v>
      </c>
      <c r="I30" s="57" t="str">
        <f>J30</f>
        <v>n/a</v>
      </c>
      <c r="J30" s="57" t="str">
        <f>'Unit Costs'!G36</f>
        <v>n/a</v>
      </c>
      <c r="K30" s="61">
        <f>H30</f>
        <v>330</v>
      </c>
      <c r="M30" s="53" t="e">
        <f t="shared" si="0"/>
        <v>#NUM!</v>
      </c>
    </row>
    <row r="31" spans="1:13">
      <c r="A31" t="s">
        <v>112</v>
      </c>
      <c r="F31" s="7">
        <v>1</v>
      </c>
      <c r="G31" s="7" t="e">
        <f>$D$7</f>
        <v>#NUM!</v>
      </c>
      <c r="H31" s="61">
        <f>'Unit Costs'!$F37</f>
        <v>239.4</v>
      </c>
      <c r="I31" s="57" t="str">
        <f>J31</f>
        <v>n/a</v>
      </c>
      <c r="J31" s="57" t="str">
        <f>'Unit Costs'!G37</f>
        <v>n/a</v>
      </c>
      <c r="K31" s="61">
        <f>H31</f>
        <v>239.4</v>
      </c>
      <c r="M31" s="53" t="e">
        <f t="shared" si="0"/>
        <v>#NUM!</v>
      </c>
    </row>
    <row r="32" spans="1:13">
      <c r="M32" s="8"/>
    </row>
    <row r="33" spans="1:13">
      <c r="A33" t="s">
        <v>271</v>
      </c>
      <c r="D33" s="207"/>
      <c r="F33" s="207"/>
      <c r="H33" s="206">
        <v>0.1</v>
      </c>
      <c r="M33" s="8"/>
    </row>
    <row r="34" spans="1:13" ht="13.5" thickBot="1">
      <c r="M34" s="8"/>
    </row>
    <row r="35" spans="1:13" ht="16.5" thickBot="1">
      <c r="A35" s="9" t="s">
        <v>37</v>
      </c>
      <c r="M35" s="63" t="e">
        <f>SUM(M24:M31)</f>
        <v>#NUM!</v>
      </c>
    </row>
    <row r="36" spans="1:13">
      <c r="M36" s="8"/>
    </row>
    <row r="37" spans="1:13" ht="15.75">
      <c r="A37" s="9" t="s">
        <v>35</v>
      </c>
      <c r="M37" s="67"/>
    </row>
    <row r="38" spans="1:13">
      <c r="M38" s="8"/>
    </row>
    <row r="39" spans="1:13">
      <c r="A39" s="1" t="s">
        <v>200</v>
      </c>
      <c r="M39" s="8"/>
    </row>
    <row r="40" spans="1:13">
      <c r="A40" s="6" t="s">
        <v>27</v>
      </c>
      <c r="G40" s="7" t="s">
        <v>127</v>
      </c>
      <c r="H40" s="7" t="s">
        <v>29</v>
      </c>
      <c r="I40" s="7" t="s">
        <v>108</v>
      </c>
      <c r="K40" s="2"/>
      <c r="M40" s="8"/>
    </row>
    <row r="41" spans="1:13">
      <c r="A41" s="6" t="s">
        <v>118</v>
      </c>
      <c r="G41" s="58" t="e">
        <f>'User Inputs'!$E61*$D$7*4.33+'User Inputs'!$F61*$D$7+'User Inputs'!$G61*$D$7/3+'User Inputs'!$H61*$D$7/6+'User Inputs'!$I61*$D$7/12</f>
        <v>#NUM!</v>
      </c>
      <c r="H41" s="28">
        <f>'Unit Costs'!F63</f>
        <v>647</v>
      </c>
      <c r="I41" s="12" t="e">
        <f>G41*H41</f>
        <v>#NUM!</v>
      </c>
      <c r="K41" s="101"/>
      <c r="M41" s="8"/>
    </row>
    <row r="42" spans="1:13">
      <c r="A42" s="6" t="s">
        <v>28</v>
      </c>
      <c r="G42" s="58" t="e">
        <f>'User Inputs'!$E62*$D$7*4.33+'User Inputs'!$F62*$D$7+'User Inputs'!$G62*$D$7/3+'User Inputs'!$H62*$D$7/6+'User Inputs'!$I62*$D$7/12</f>
        <v>#NUM!</v>
      </c>
      <c r="H42" s="28">
        <f>'Unit Costs'!F64</f>
        <v>736</v>
      </c>
      <c r="I42" s="12" t="e">
        <f>G42*H42</f>
        <v>#NUM!</v>
      </c>
      <c r="K42" s="101"/>
      <c r="M42" s="8"/>
    </row>
    <row r="43" spans="1:13">
      <c r="M43" s="8"/>
    </row>
    <row r="44" spans="1:13">
      <c r="A44" s="1" t="s">
        <v>30</v>
      </c>
      <c r="M44" s="14" t="e">
        <f>I41+I42</f>
        <v>#NUM!</v>
      </c>
    </row>
    <row r="45" spans="1:13">
      <c r="M45" s="8"/>
    </row>
    <row r="46" spans="1:13">
      <c r="A46" s="1" t="s">
        <v>34</v>
      </c>
      <c r="M46" s="14" t="e">
        <f>$D$7*1000</f>
        <v>#NUM!</v>
      </c>
    </row>
    <row r="47" spans="1:13" ht="13.5" thickBot="1">
      <c r="M47" s="8"/>
    </row>
    <row r="48" spans="1:13" ht="16.5" thickBot="1">
      <c r="A48" s="9" t="s">
        <v>38</v>
      </c>
      <c r="M48" s="18" t="e">
        <f>M44+M46</f>
        <v>#NUM!</v>
      </c>
    </row>
    <row r="49" spans="1:13" ht="15.75">
      <c r="A49" s="9"/>
      <c r="M49" s="67"/>
    </row>
    <row r="50" spans="1:13" ht="15">
      <c r="I50" s="23" t="s">
        <v>41</v>
      </c>
      <c r="J50" s="23" t="s">
        <v>42</v>
      </c>
      <c r="K50" s="23" t="s">
        <v>43</v>
      </c>
      <c r="L50" s="19"/>
      <c r="M50" s="23" t="s">
        <v>6</v>
      </c>
    </row>
    <row r="51" spans="1:13" ht="13.5" thickBot="1"/>
    <row r="52" spans="1:13" ht="18.75" thickBot="1">
      <c r="A52" s="69" t="s">
        <v>235</v>
      </c>
      <c r="I52" s="70" t="e">
        <f>M18</f>
        <v>#NUM!</v>
      </c>
      <c r="J52" s="70" t="e">
        <f>M35</f>
        <v>#NUM!</v>
      </c>
      <c r="K52" s="70" t="e">
        <f>M48</f>
        <v>#NUM!</v>
      </c>
      <c r="L52" s="4"/>
      <c r="M52" s="70" t="e">
        <f>SUM(I52:K52)</f>
        <v>#NUM!</v>
      </c>
    </row>
  </sheetData>
  <sheetProtection algorithmName="SHA-512" hashValue="qHjQi4vQDQL3sRRjxb80C/WfA55/OF65YLiqDmwUdejkNuOg9nDsUYc6tMcyksMn5X2pueh7MjRCovrtmXw4Eg==" saltValue="Bb2qHdhv/cl+ZnETW7MdXQ==" spinCount="100000" sheet="1" objects="1" scenarios="1"/>
  <phoneticPr fontId="18" type="noConversion"/>
  <pageMargins left="0.75" right="0.75" top="1" bottom="1" header="0.5" footer="0.5"/>
  <pageSetup scale="62" orientation="landscape" r:id="rId1"/>
  <headerFooter alignWithMargins="0">
    <oddHeader>&amp;C&amp;"Arial,Bold"&amp;16PROCESS FLUID STABILIZATION
PHASE II&amp;R&amp;D</oddHeader>
    <oddFooter>&amp;L&amp;F&amp;C&amp;A&amp;RPage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O62"/>
  <sheetViews>
    <sheetView zoomScaleNormal="100" workbookViewId="0">
      <selection activeCell="D7" sqref="D7"/>
    </sheetView>
  </sheetViews>
  <sheetFormatPr defaultRowHeight="12.75"/>
  <cols>
    <col min="1" max="3" width="9.28515625" bestFit="1" customWidth="1"/>
    <col min="4" max="4" width="9.5703125" bestFit="1" customWidth="1"/>
    <col min="5" max="5" width="11.28515625" bestFit="1" customWidth="1"/>
    <col min="6" max="6" width="12.140625" bestFit="1" customWidth="1"/>
    <col min="7" max="7" width="12.5703125" customWidth="1"/>
    <col min="8" max="8" width="11.140625" bestFit="1" customWidth="1"/>
    <col min="9" max="10" width="12.7109375" bestFit="1" customWidth="1"/>
    <col min="11" max="12" width="13.28515625" bestFit="1" customWidth="1"/>
    <col min="13" max="13" width="14.28515625" bestFit="1" customWidth="1"/>
  </cols>
  <sheetData>
    <row r="2" spans="1:13" ht="18">
      <c r="A2" s="69" t="s">
        <v>368</v>
      </c>
    </row>
    <row r="3" spans="1:13">
      <c r="A3" s="32" t="s">
        <v>58</v>
      </c>
    </row>
    <row r="4" spans="1:13">
      <c r="F4" s="1"/>
      <c r="M4" s="5"/>
    </row>
    <row r="5" spans="1:13" ht="15.75">
      <c r="A5" s="9" t="s">
        <v>7</v>
      </c>
      <c r="F5" s="1"/>
      <c r="M5" s="5"/>
    </row>
    <row r="7" spans="1:13">
      <c r="A7" s="6" t="s">
        <v>250</v>
      </c>
      <c r="D7" s="96">
        <f>'User Inputs'!I48</f>
        <v>1</v>
      </c>
      <c r="M7" s="5"/>
    </row>
    <row r="8" spans="1:13" ht="13.5" thickBot="1">
      <c r="A8" s="6"/>
      <c r="D8" s="157"/>
      <c r="M8" s="5"/>
    </row>
    <row r="9" spans="1:13" ht="13.5" thickBot="1">
      <c r="M9" s="68" t="s">
        <v>105</v>
      </c>
    </row>
    <row r="10" spans="1:13">
      <c r="A10" s="1" t="s">
        <v>188</v>
      </c>
      <c r="D10" s="7" t="s">
        <v>91</v>
      </c>
      <c r="E10" s="7" t="s">
        <v>92</v>
      </c>
      <c r="F10" s="7" t="s">
        <v>93</v>
      </c>
      <c r="G10" s="7" t="s">
        <v>94</v>
      </c>
      <c r="H10" s="7" t="s">
        <v>95</v>
      </c>
      <c r="I10" s="7" t="s">
        <v>96</v>
      </c>
      <c r="J10" s="7" t="s">
        <v>97</v>
      </c>
      <c r="K10" s="7" t="s">
        <v>99</v>
      </c>
    </row>
    <row r="11" spans="1:13">
      <c r="A11" t="s">
        <v>0</v>
      </c>
      <c r="D11" s="7">
        <v>2</v>
      </c>
      <c r="E11" s="7">
        <v>12</v>
      </c>
      <c r="F11" s="7">
        <v>1</v>
      </c>
      <c r="G11" s="58">
        <v>5</v>
      </c>
      <c r="H11" s="7">
        <f>D11*E11*F11*G11</f>
        <v>120</v>
      </c>
      <c r="I11" s="59">
        <f>H11*52/12</f>
        <v>520</v>
      </c>
      <c r="J11" s="11">
        <f>I11*$D$7</f>
        <v>520</v>
      </c>
      <c r="K11" s="57">
        <f>'IFM '!K9</f>
        <v>61.332250000000002</v>
      </c>
      <c r="L11" s="2"/>
      <c r="M11" s="53">
        <f>K11*J11</f>
        <v>31892.77</v>
      </c>
    </row>
    <row r="12" spans="1:13">
      <c r="A12" t="s">
        <v>199</v>
      </c>
      <c r="D12" s="7">
        <v>1</v>
      </c>
      <c r="E12" s="7">
        <v>12</v>
      </c>
      <c r="F12" s="7">
        <v>2</v>
      </c>
      <c r="G12" s="58">
        <v>7</v>
      </c>
      <c r="H12" s="7">
        <f>D12*E12*F12*G12</f>
        <v>168</v>
      </c>
      <c r="I12" s="59">
        <f>H12*52/12</f>
        <v>728</v>
      </c>
      <c r="J12" s="11">
        <f>I12*$D$7</f>
        <v>728</v>
      </c>
      <c r="K12" s="57">
        <f>'IFM '!K10</f>
        <v>61.028624999999998</v>
      </c>
      <c r="L12" s="2"/>
      <c r="M12" s="53">
        <f>K12*J12</f>
        <v>44428.839</v>
      </c>
    </row>
    <row r="13" spans="1:13">
      <c r="A13" t="s">
        <v>2</v>
      </c>
      <c r="D13" s="7">
        <v>1</v>
      </c>
      <c r="E13" s="7">
        <v>8</v>
      </c>
      <c r="F13" s="7">
        <v>1</v>
      </c>
      <c r="G13" s="58">
        <v>2</v>
      </c>
      <c r="H13" s="7">
        <f>D13*E13*F13*G13</f>
        <v>16</v>
      </c>
      <c r="I13" s="59">
        <f>H13*52/12</f>
        <v>69.333333333333329</v>
      </c>
      <c r="J13" s="11">
        <f>I13*$D$7</f>
        <v>69.333333333333329</v>
      </c>
      <c r="K13" s="57">
        <f>'IFM '!K11</f>
        <v>86.885329999999982</v>
      </c>
      <c r="L13" s="2"/>
      <c r="M13" s="53">
        <f>K13*J13</f>
        <v>6024.0495466666653</v>
      </c>
    </row>
    <row r="14" spans="1:13">
      <c r="A14" t="s">
        <v>4</v>
      </c>
      <c r="D14" s="7">
        <v>1</v>
      </c>
      <c r="E14" s="7">
        <v>8</v>
      </c>
      <c r="F14" s="7">
        <v>1</v>
      </c>
      <c r="G14" s="58">
        <v>2</v>
      </c>
      <c r="H14" s="7">
        <f>D14*E14*F14*G14</f>
        <v>16</v>
      </c>
      <c r="I14" s="59">
        <f>H14*52/12</f>
        <v>69.333333333333329</v>
      </c>
      <c r="J14" s="11">
        <f>I14*$D$7</f>
        <v>69.333333333333329</v>
      </c>
      <c r="K14" s="57">
        <f>'IFM '!K12</f>
        <v>81.295593749999981</v>
      </c>
      <c r="L14" s="2"/>
      <c r="M14" s="53">
        <f>K14*J14</f>
        <v>5636.494499999998</v>
      </c>
    </row>
    <row r="15" spans="1:13">
      <c r="I15" s="10"/>
      <c r="K15" s="3"/>
      <c r="M15" s="13"/>
    </row>
    <row r="16" spans="1:13">
      <c r="I16" s="10"/>
      <c r="K16" s="3"/>
      <c r="M16" s="13"/>
    </row>
    <row r="17" spans="1:13" ht="13.5" thickBot="1">
      <c r="I17" s="10"/>
      <c r="K17" s="3"/>
      <c r="M17" s="13"/>
    </row>
    <row r="18" spans="1:13" ht="16.5" thickBot="1">
      <c r="A18" s="9" t="s">
        <v>36</v>
      </c>
      <c r="I18" s="10"/>
      <c r="M18" s="62">
        <f>SUM(M11:M14)</f>
        <v>87982.153046666659</v>
      </c>
    </row>
    <row r="19" spans="1:13" ht="15.75">
      <c r="A19" s="9"/>
      <c r="I19" s="10"/>
      <c r="M19" s="93"/>
    </row>
    <row r="20" spans="1:13" ht="15.75">
      <c r="A20" s="9" t="s">
        <v>8</v>
      </c>
      <c r="D20" s="2"/>
      <c r="E20" s="2"/>
      <c r="F20" s="2"/>
      <c r="G20" s="2"/>
      <c r="M20" s="15"/>
    </row>
    <row r="21" spans="1:13">
      <c r="M21" s="8"/>
    </row>
    <row r="22" spans="1:13">
      <c r="H22" s="7" t="s">
        <v>276</v>
      </c>
      <c r="I22" s="7" t="s">
        <v>270</v>
      </c>
      <c r="J22" s="192" t="s">
        <v>272</v>
      </c>
      <c r="K22" s="7" t="s">
        <v>108</v>
      </c>
      <c r="M22" s="8"/>
    </row>
    <row r="23" spans="1:13">
      <c r="A23" s="1" t="s">
        <v>16</v>
      </c>
      <c r="F23" s="7" t="s">
        <v>102</v>
      </c>
      <c r="G23" s="79" t="s">
        <v>103</v>
      </c>
      <c r="H23" s="7" t="s">
        <v>273</v>
      </c>
      <c r="I23" s="7" t="s">
        <v>274</v>
      </c>
      <c r="J23" s="7" t="s">
        <v>275</v>
      </c>
      <c r="K23" s="7" t="s">
        <v>273</v>
      </c>
      <c r="M23" s="8"/>
    </row>
    <row r="24" spans="1:13">
      <c r="A24" t="s">
        <v>10</v>
      </c>
      <c r="F24" s="7">
        <v>1</v>
      </c>
      <c r="G24" s="7">
        <f>$D$7</f>
        <v>1</v>
      </c>
      <c r="H24" s="61">
        <f>'Unit Costs'!$F30</f>
        <v>4095</v>
      </c>
      <c r="I24" s="54">
        <f>176*$H$33</f>
        <v>35.200000000000003</v>
      </c>
      <c r="J24" s="57">
        <f>'Unit Costs'!G30</f>
        <v>24.041666666666664</v>
      </c>
      <c r="K24" s="61">
        <f>H24+(I24*J24)</f>
        <v>4941.2666666666664</v>
      </c>
      <c r="M24" s="53">
        <f>K24*F24*G24</f>
        <v>4941.2666666666664</v>
      </c>
    </row>
    <row r="25" spans="1:13">
      <c r="A25" s="6" t="s">
        <v>13</v>
      </c>
      <c r="F25" s="7">
        <v>1</v>
      </c>
      <c r="G25" s="7">
        <f>$D$7</f>
        <v>1</v>
      </c>
      <c r="H25" s="61">
        <f>'Unit Costs'!$F31</f>
        <v>1865.6</v>
      </c>
      <c r="I25" s="54">
        <f>176*$H$33</f>
        <v>35.200000000000003</v>
      </c>
      <c r="J25" s="57">
        <f>'Unit Costs'!G31</f>
        <v>2.65</v>
      </c>
      <c r="K25" s="61">
        <f>H25+(I25*J25)</f>
        <v>1958.8799999999999</v>
      </c>
      <c r="M25" s="53">
        <f t="shared" ref="M25:M31" si="0">K25*F25*G25</f>
        <v>1958.8799999999999</v>
      </c>
    </row>
    <row r="26" spans="1:13">
      <c r="A26" s="6" t="s">
        <v>11</v>
      </c>
      <c r="F26" s="7">
        <v>2</v>
      </c>
      <c r="G26" s="7">
        <f>$D$7</f>
        <v>1</v>
      </c>
      <c r="H26" s="61">
        <f>'Unit Costs'!$F32</f>
        <v>5178.8</v>
      </c>
      <c r="I26" s="54">
        <f>176*$H$33</f>
        <v>35.200000000000003</v>
      </c>
      <c r="J26" s="57">
        <f>'Unit Costs'!G32</f>
        <v>6.8294117647058821</v>
      </c>
      <c r="K26" s="61">
        <f>H26+(I26*J26)</f>
        <v>5419.1952941176469</v>
      </c>
      <c r="M26" s="53">
        <f t="shared" si="0"/>
        <v>10838.390588235294</v>
      </c>
    </row>
    <row r="27" spans="1:13">
      <c r="A27" t="s">
        <v>17</v>
      </c>
      <c r="F27" s="7">
        <v>1</v>
      </c>
      <c r="G27" s="7">
        <v>0</v>
      </c>
      <c r="H27" s="61">
        <f>'Unit Costs'!$F33</f>
        <v>17850</v>
      </c>
      <c r="I27" s="54">
        <f>176*$H$33</f>
        <v>35.200000000000003</v>
      </c>
      <c r="J27" s="57">
        <f>'Unit Costs'!G33</f>
        <v>56.445357142857148</v>
      </c>
      <c r="K27" s="61">
        <f>H27+(I27*J27)</f>
        <v>19836.876571428573</v>
      </c>
      <c r="M27" s="53">
        <f t="shared" si="0"/>
        <v>0</v>
      </c>
    </row>
    <row r="28" spans="1:13">
      <c r="A28" s="6" t="s">
        <v>14</v>
      </c>
      <c r="F28" s="7">
        <v>1</v>
      </c>
      <c r="G28" s="7">
        <f>$D$7</f>
        <v>1</v>
      </c>
      <c r="H28" s="61">
        <f>'Unit Costs'!$F34</f>
        <v>3506.8</v>
      </c>
      <c r="I28" s="57" t="str">
        <f>J28</f>
        <v>n/a</v>
      </c>
      <c r="J28" s="57" t="str">
        <f>'Unit Costs'!G34</f>
        <v>n/a</v>
      </c>
      <c r="K28" s="61">
        <f>H28</f>
        <v>3506.8</v>
      </c>
      <c r="M28" s="53">
        <f t="shared" si="0"/>
        <v>3506.8</v>
      </c>
    </row>
    <row r="29" spans="1:13">
      <c r="A29" t="s">
        <v>15</v>
      </c>
      <c r="F29" s="7">
        <v>1</v>
      </c>
      <c r="G29" s="7">
        <f>$D$7</f>
        <v>1</v>
      </c>
      <c r="H29" s="61">
        <f>'Unit Costs'!$F35</f>
        <v>7378.8</v>
      </c>
      <c r="I29" s="57" t="str">
        <f>J29</f>
        <v>n/a</v>
      </c>
      <c r="J29" s="57" t="str">
        <f>'Unit Costs'!G35</f>
        <v>n/a</v>
      </c>
      <c r="K29" s="61">
        <f>H29</f>
        <v>7378.8</v>
      </c>
      <c r="M29" s="53">
        <f t="shared" si="0"/>
        <v>7378.8</v>
      </c>
    </row>
    <row r="30" spans="1:13">
      <c r="A30" t="s">
        <v>111</v>
      </c>
      <c r="F30" s="7">
        <v>1</v>
      </c>
      <c r="G30" s="7">
        <f>$D$7</f>
        <v>1</v>
      </c>
      <c r="H30" s="61">
        <f>'Unit Costs'!$F36</f>
        <v>330</v>
      </c>
      <c r="I30" s="57" t="str">
        <f>J30</f>
        <v>n/a</v>
      </c>
      <c r="J30" s="57" t="str">
        <f>'Unit Costs'!G36</f>
        <v>n/a</v>
      </c>
      <c r="K30" s="61">
        <f>H30</f>
        <v>330</v>
      </c>
      <c r="M30" s="53">
        <f t="shared" si="0"/>
        <v>330</v>
      </c>
    </row>
    <row r="31" spans="1:13">
      <c r="A31" t="s">
        <v>112</v>
      </c>
      <c r="F31" s="7">
        <v>1</v>
      </c>
      <c r="G31" s="7">
        <f>$D$7</f>
        <v>1</v>
      </c>
      <c r="H31" s="61">
        <f>'Unit Costs'!$F37</f>
        <v>239.4</v>
      </c>
      <c r="I31" s="57" t="str">
        <f>J31</f>
        <v>n/a</v>
      </c>
      <c r="J31" s="57" t="str">
        <f>'Unit Costs'!G37</f>
        <v>n/a</v>
      </c>
      <c r="K31" s="61">
        <f>H31</f>
        <v>239.4</v>
      </c>
      <c r="M31" s="53">
        <f t="shared" si="0"/>
        <v>239.4</v>
      </c>
    </row>
    <row r="32" spans="1:13">
      <c r="M32" s="8"/>
    </row>
    <row r="33" spans="1:13">
      <c r="A33" t="s">
        <v>271</v>
      </c>
      <c r="D33" s="207"/>
      <c r="F33" s="207"/>
      <c r="H33" s="206">
        <v>0.2</v>
      </c>
      <c r="M33" s="8"/>
    </row>
    <row r="34" spans="1:13" ht="13.5" thickBot="1">
      <c r="M34" s="8"/>
    </row>
    <row r="35" spans="1:13" ht="16.5" thickBot="1">
      <c r="A35" s="9" t="s">
        <v>37</v>
      </c>
      <c r="M35" s="63">
        <f>SUM(M24:M31)</f>
        <v>29193.537254901959</v>
      </c>
    </row>
    <row r="36" spans="1:13">
      <c r="M36" s="8"/>
    </row>
    <row r="37" spans="1:13" ht="15.75">
      <c r="A37" s="9" t="s">
        <v>35</v>
      </c>
      <c r="M37" s="67"/>
    </row>
    <row r="38" spans="1:13">
      <c r="M38" s="8"/>
    </row>
    <row r="39" spans="1:13">
      <c r="A39" s="1" t="s">
        <v>200</v>
      </c>
      <c r="M39" s="8"/>
    </row>
    <row r="40" spans="1:13">
      <c r="A40" s="6" t="s">
        <v>27</v>
      </c>
      <c r="G40" s="7" t="s">
        <v>127</v>
      </c>
      <c r="H40" s="7" t="s">
        <v>29</v>
      </c>
      <c r="I40" s="7" t="s">
        <v>108</v>
      </c>
      <c r="K40" s="2"/>
      <c r="M40" s="8"/>
    </row>
    <row r="41" spans="1:13">
      <c r="A41" s="6" t="s">
        <v>118</v>
      </c>
      <c r="G41" s="58">
        <f>'User Inputs'!$E61*$D$7*4.33+'User Inputs'!$F61*$D$7+'User Inputs'!$G61*$D$7/3+'User Inputs'!$H61*$D$7/6+'User Inputs'!$I61*$D$7/12</f>
        <v>0</v>
      </c>
      <c r="H41" s="28">
        <f>'Unit Costs'!F63</f>
        <v>647</v>
      </c>
      <c r="I41" s="12">
        <f>G41*H41</f>
        <v>0</v>
      </c>
      <c r="K41" s="101"/>
      <c r="M41" s="8"/>
    </row>
    <row r="42" spans="1:13">
      <c r="A42" s="6" t="s">
        <v>28</v>
      </c>
      <c r="G42" s="58">
        <f>'User Inputs'!$E62*$D$7*4.33+'User Inputs'!$F62*$D$7+'User Inputs'!$G62*$D$7/3+'User Inputs'!$H62*$D$7/6+'User Inputs'!$I62*$D$7/12</f>
        <v>0</v>
      </c>
      <c r="H42" s="28">
        <f>'Unit Costs'!F64</f>
        <v>736</v>
      </c>
      <c r="I42" s="12">
        <f>G42*H42</f>
        <v>0</v>
      </c>
      <c r="K42" s="101"/>
      <c r="M42" s="8"/>
    </row>
    <row r="43" spans="1:13">
      <c r="M43" s="8"/>
    </row>
    <row r="44" spans="1:13">
      <c r="A44" s="1" t="s">
        <v>30</v>
      </c>
      <c r="M44" s="14">
        <f>I41+I42</f>
        <v>0</v>
      </c>
    </row>
    <row r="45" spans="1:13">
      <c r="M45" s="8"/>
    </row>
    <row r="46" spans="1:13">
      <c r="A46" s="1" t="s">
        <v>34</v>
      </c>
      <c r="M46" s="14">
        <f>$D$7*1000</f>
        <v>1000</v>
      </c>
    </row>
    <row r="47" spans="1:13" ht="13.5" thickBot="1">
      <c r="M47" s="8"/>
    </row>
    <row r="48" spans="1:13" ht="16.5" thickBot="1">
      <c r="A48" s="9" t="s">
        <v>38</v>
      </c>
      <c r="M48" s="18">
        <f>M44+M46</f>
        <v>1000</v>
      </c>
    </row>
    <row r="49" spans="1:15" ht="15.75">
      <c r="A49" s="9"/>
      <c r="M49" s="67"/>
    </row>
    <row r="50" spans="1:15" ht="15">
      <c r="I50" s="23" t="s">
        <v>41</v>
      </c>
      <c r="J50" s="23" t="s">
        <v>42</v>
      </c>
      <c r="K50" s="23" t="s">
        <v>43</v>
      </c>
      <c r="L50" s="19"/>
      <c r="M50" s="23" t="s">
        <v>6</v>
      </c>
    </row>
    <row r="51" spans="1:15" ht="13.5" thickBot="1"/>
    <row r="52" spans="1:15" ht="18.75" thickBot="1">
      <c r="A52" s="69" t="s">
        <v>236</v>
      </c>
      <c r="I52" s="70">
        <f>M18</f>
        <v>87982.153046666659</v>
      </c>
      <c r="J52" s="70">
        <f>M35</f>
        <v>29193.537254901959</v>
      </c>
      <c r="K52" s="70">
        <f>M48</f>
        <v>1000</v>
      </c>
      <c r="L52" s="4"/>
      <c r="M52" s="70">
        <f>SUM(I52:K52)</f>
        <v>118175.69030156863</v>
      </c>
    </row>
    <row r="54" spans="1:15" ht="18.75" thickBot="1">
      <c r="A54" s="69" t="s">
        <v>237</v>
      </c>
    </row>
    <row r="55" spans="1:15" ht="16.5" thickBot="1">
      <c r="A55" s="279">
        <f>'User Inputs'!C10</f>
        <v>0</v>
      </c>
      <c r="B55" s="280"/>
      <c r="C55" s="281"/>
      <c r="G55" s="4"/>
      <c r="I55" s="185">
        <v>0</v>
      </c>
      <c r="J55" s="185">
        <v>0</v>
      </c>
      <c r="K55" s="185">
        <f>'User Inputs'!E50</f>
        <v>0</v>
      </c>
      <c r="M55" s="70">
        <f t="shared" ref="M55:M60" si="1">SUM(I55:K55)</f>
        <v>0</v>
      </c>
    </row>
    <row r="56" spans="1:15" ht="16.5" thickBot="1">
      <c r="A56" s="279">
        <f>'User Inputs'!C11</f>
        <v>0</v>
      </c>
      <c r="B56" s="280"/>
      <c r="C56" s="281"/>
      <c r="I56" s="185">
        <v>0</v>
      </c>
      <c r="J56" s="185">
        <v>0</v>
      </c>
      <c r="K56" s="185">
        <f>'User Inputs'!F50</f>
        <v>0</v>
      </c>
      <c r="M56" s="70">
        <f t="shared" si="1"/>
        <v>0</v>
      </c>
    </row>
    <row r="57" spans="1:15" ht="16.5" thickBot="1">
      <c r="A57" s="279">
        <f>'User Inputs'!C12</f>
        <v>0</v>
      </c>
      <c r="B57" s="280"/>
      <c r="C57" s="281"/>
      <c r="I57" s="185">
        <v>0</v>
      </c>
      <c r="J57" s="185">
        <v>0</v>
      </c>
      <c r="K57" s="185">
        <f>'User Inputs'!G50</f>
        <v>0</v>
      </c>
      <c r="M57" s="70">
        <f t="shared" si="1"/>
        <v>0</v>
      </c>
    </row>
    <row r="58" spans="1:15" ht="16.5" thickBot="1">
      <c r="A58" s="279">
        <f>'User Inputs'!C13</f>
        <v>0</v>
      </c>
      <c r="B58" s="280"/>
      <c r="C58" s="281"/>
      <c r="I58" s="185">
        <v>0</v>
      </c>
      <c r="J58" s="185">
        <v>0</v>
      </c>
      <c r="K58" s="185">
        <f>'User Inputs'!H50</f>
        <v>0</v>
      </c>
      <c r="M58" s="70">
        <f t="shared" si="1"/>
        <v>0</v>
      </c>
    </row>
    <row r="59" spans="1:15" ht="13.5" thickBot="1"/>
    <row r="60" spans="1:15" ht="18.75" thickBot="1">
      <c r="A60" s="69" t="s">
        <v>238</v>
      </c>
      <c r="I60" s="70">
        <v>0</v>
      </c>
      <c r="J60" s="70">
        <v>0</v>
      </c>
      <c r="K60" s="70">
        <f>SUM(K55:K58)</f>
        <v>0</v>
      </c>
      <c r="M60" s="70">
        <f t="shared" si="1"/>
        <v>0</v>
      </c>
    </row>
    <row r="61" spans="1:15" ht="13.5" thickBot="1"/>
    <row r="62" spans="1:15" ht="18.75" thickBot="1">
      <c r="A62" s="69" t="s">
        <v>239</v>
      </c>
      <c r="I62" s="70">
        <f>I52+I60</f>
        <v>87982.153046666659</v>
      </c>
      <c r="J62" s="70">
        <f>J52+J60</f>
        <v>29193.537254901959</v>
      </c>
      <c r="K62" s="70">
        <f>K52+K60</f>
        <v>1000</v>
      </c>
      <c r="M62" s="70">
        <f>M52+M60</f>
        <v>118175.69030156863</v>
      </c>
      <c r="N62" s="172"/>
      <c r="O62" s="172"/>
    </row>
  </sheetData>
  <sheetProtection algorithmName="SHA-512" hashValue="DbgHgHzPQaSGXack2Sk7Jas6Zr+jlIbu3+JyRBu2AQAKUt3u8hTJ50553w73Ivtuv9I5ZvKlK+uvWgAcxPx/OQ==" saltValue="q2lHYOigTr3NjSu9ZEq4EA==" spinCount="100000" sheet="1" objects="1" scenarios="1"/>
  <mergeCells count="4">
    <mergeCell ref="A55:C55"/>
    <mergeCell ref="A56:C56"/>
    <mergeCell ref="A57:C57"/>
    <mergeCell ref="A58:C58"/>
  </mergeCells>
  <phoneticPr fontId="18" type="noConversion"/>
  <pageMargins left="0.75" right="0.75" top="1" bottom="1" header="0.5" footer="0.5"/>
  <pageSetup scale="54" orientation="landscape" r:id="rId1"/>
  <headerFooter alignWithMargins="0">
    <oddHeader>&amp;C&amp;"Arial,Bold"&amp;16PROCESS FLUID STABILIZATION
PHASE III&amp;R&amp;D</oddHeader>
    <oddFooter>&amp;L&amp;F&amp;C&amp;A&amp;RPage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M233"/>
  <sheetViews>
    <sheetView zoomScaleNormal="100" workbookViewId="0">
      <selection activeCell="I12" sqref="I12"/>
    </sheetView>
  </sheetViews>
  <sheetFormatPr defaultRowHeight="12.75"/>
  <cols>
    <col min="1" max="1" width="14.42578125" bestFit="1" customWidth="1"/>
    <col min="5" max="5" width="7.140625" bestFit="1" customWidth="1"/>
    <col min="6" max="6" width="12" bestFit="1" customWidth="1"/>
    <col min="7" max="7" width="10.42578125" bestFit="1" customWidth="1"/>
    <col min="8" max="9" width="15.140625" customWidth="1"/>
    <col min="10" max="10" width="15.140625" bestFit="1" customWidth="1"/>
  </cols>
  <sheetData>
    <row r="1" spans="1:13" ht="20.25">
      <c r="A1" s="218" t="s">
        <v>297</v>
      </c>
    </row>
    <row r="2" spans="1:13">
      <c r="A2" t="s">
        <v>298</v>
      </c>
    </row>
    <row r="3" spans="1:13">
      <c r="A3" t="s">
        <v>417</v>
      </c>
    </row>
    <row r="4" spans="1:13">
      <c r="A4" t="s">
        <v>301</v>
      </c>
    </row>
    <row r="5" spans="1:13">
      <c r="A5" t="s">
        <v>299</v>
      </c>
    </row>
    <row r="6" spans="1:13">
      <c r="A6" t="s">
        <v>300</v>
      </c>
    </row>
    <row r="7" spans="1:13">
      <c r="A7" s="6" t="s">
        <v>322</v>
      </c>
    </row>
    <row r="8" spans="1:13">
      <c r="A8" t="s">
        <v>323</v>
      </c>
    </row>
    <row r="9" spans="1:13">
      <c r="A9" t="s">
        <v>304</v>
      </c>
    </row>
    <row r="10" spans="1:13">
      <c r="A10" s="6" t="s">
        <v>305</v>
      </c>
    </row>
    <row r="12" spans="1:13" ht="20.25">
      <c r="A12" s="282">
        <f>'User Inputs'!C10</f>
        <v>0</v>
      </c>
      <c r="B12" s="283"/>
      <c r="C12" s="284"/>
    </row>
    <row r="13" spans="1:13">
      <c r="G13" s="1"/>
      <c r="H13" s="110"/>
      <c r="I13" s="1"/>
      <c r="J13" s="6"/>
      <c r="K13" s="6"/>
      <c r="L13" s="6"/>
      <c r="M13" s="6"/>
    </row>
    <row r="14" spans="1:13" ht="15.75">
      <c r="A14" s="9" t="s">
        <v>35</v>
      </c>
    </row>
    <row r="15" spans="1:13">
      <c r="A15" s="32" t="s">
        <v>58</v>
      </c>
    </row>
    <row r="16" spans="1:13" ht="15">
      <c r="A16" s="188" t="s">
        <v>203</v>
      </c>
    </row>
    <row r="17" spans="1:13">
      <c r="A17" t="s">
        <v>185</v>
      </c>
      <c r="G17" s="1"/>
      <c r="H17" s="110"/>
      <c r="I17" s="1"/>
      <c r="J17" s="127">
        <f>'User Inputs'!E$54</f>
        <v>0</v>
      </c>
      <c r="K17" s="112"/>
      <c r="L17" s="111"/>
      <c r="M17" s="112"/>
    </row>
    <row r="18" spans="1:13">
      <c r="A18" t="s">
        <v>295</v>
      </c>
      <c r="G18" s="1"/>
      <c r="H18" s="110"/>
      <c r="I18" s="1"/>
      <c r="J18" s="58">
        <f>'User Inputs'!E$56</f>
        <v>0</v>
      </c>
      <c r="K18" s="6"/>
      <c r="L18" s="6"/>
      <c r="M18" s="6"/>
    </row>
    <row r="19" spans="1:13">
      <c r="A19" t="s">
        <v>277</v>
      </c>
      <c r="G19" s="1"/>
      <c r="H19" s="110"/>
      <c r="I19" s="1"/>
      <c r="J19" s="128">
        <f>'User Inputs'!E$57</f>
        <v>0</v>
      </c>
      <c r="K19" s="6"/>
      <c r="L19" s="6"/>
      <c r="M19" s="6"/>
    </row>
    <row r="20" spans="1:13">
      <c r="G20" s="1"/>
      <c r="H20" s="110"/>
      <c r="I20" s="1"/>
      <c r="J20" s="2"/>
      <c r="K20" s="6"/>
      <c r="L20" s="6"/>
      <c r="M20" s="6"/>
    </row>
    <row r="21" spans="1:13">
      <c r="A21" t="s">
        <v>204</v>
      </c>
      <c r="J21" s="7">
        <v>160</v>
      </c>
    </row>
    <row r="22" spans="1:13">
      <c r="A22" t="s">
        <v>206</v>
      </c>
      <c r="G22" s="1"/>
      <c r="H22" s="6"/>
      <c r="I22" s="6"/>
      <c r="J22" s="128">
        <f>J19</f>
        <v>0</v>
      </c>
      <c r="K22" s="111"/>
      <c r="L22" s="111"/>
      <c r="M22" s="112"/>
    </row>
    <row r="23" spans="1:13">
      <c r="A23" t="s">
        <v>205</v>
      </c>
      <c r="G23" s="1"/>
      <c r="H23" s="6"/>
      <c r="I23" s="6"/>
      <c r="J23" s="7">
        <v>12</v>
      </c>
      <c r="K23" s="6"/>
      <c r="L23" s="6"/>
    </row>
    <row r="24" spans="1:13" ht="18">
      <c r="G24" s="113"/>
      <c r="H24" s="114"/>
      <c r="I24" s="114"/>
      <c r="J24" s="2"/>
      <c r="K24" s="114"/>
      <c r="L24" s="114"/>
    </row>
    <row r="25" spans="1:13">
      <c r="A25" t="s">
        <v>207</v>
      </c>
      <c r="G25" s="122"/>
      <c r="H25" s="122"/>
      <c r="I25" s="122"/>
      <c r="J25" s="11">
        <f>J21*J22*60*J18</f>
        <v>0</v>
      </c>
      <c r="K25" s="123"/>
      <c r="L25" s="122"/>
      <c r="M25" s="123"/>
    </row>
    <row r="26" spans="1:13">
      <c r="A26" t="s">
        <v>208</v>
      </c>
      <c r="G26" s="115"/>
      <c r="H26" s="115"/>
      <c r="I26" s="116"/>
      <c r="J26" s="11">
        <f>J25*J23</f>
        <v>0</v>
      </c>
      <c r="K26" s="6"/>
      <c r="L26" s="117"/>
      <c r="M26" s="117"/>
    </row>
    <row r="27" spans="1:13" ht="13.5" thickBot="1">
      <c r="G27" s="115"/>
      <c r="H27" s="115"/>
      <c r="I27" s="116"/>
      <c r="J27" s="2"/>
      <c r="K27" s="117"/>
      <c r="L27" s="117"/>
      <c r="M27" s="118"/>
    </row>
    <row r="28" spans="1:13" ht="13.5" thickBot="1">
      <c r="A28" t="s">
        <v>209</v>
      </c>
      <c r="G28" s="119"/>
      <c r="H28" s="120"/>
      <c r="I28" s="121"/>
      <c r="J28" s="217">
        <f>IF(J25=0,0,(J17*1000000)/J25)</f>
        <v>0</v>
      </c>
      <c r="K28" s="117"/>
      <c r="M28" s="117"/>
    </row>
    <row r="29" spans="1:13">
      <c r="K29" s="117"/>
      <c r="M29" s="117"/>
    </row>
    <row r="30" spans="1:13">
      <c r="A30" t="s">
        <v>296</v>
      </c>
      <c r="J30" s="11">
        <v>51</v>
      </c>
      <c r="K30" s="117"/>
      <c r="M30" s="117"/>
    </row>
    <row r="31" spans="1:13">
      <c r="A31" t="s">
        <v>292</v>
      </c>
      <c r="J31" s="11">
        <f>51/0.746</f>
        <v>68.364611260053621</v>
      </c>
    </row>
    <row r="32" spans="1:13">
      <c r="A32" t="s">
        <v>294</v>
      </c>
      <c r="G32" s="119"/>
      <c r="H32" s="120"/>
      <c r="I32" s="121"/>
      <c r="J32" s="11">
        <f>'User Inputs'!E$55</f>
        <v>0</v>
      </c>
    </row>
    <row r="33" spans="1:10">
      <c r="A33" t="s">
        <v>302</v>
      </c>
      <c r="J33" s="11">
        <f>(J21*J32*1.25)/(3960*0.9)</f>
        <v>0</v>
      </c>
    </row>
    <row r="34" spans="1:10">
      <c r="A34" t="s">
        <v>303</v>
      </c>
      <c r="I34" s="6"/>
      <c r="J34" s="11">
        <f>ROUND(J31+J33,0)</f>
        <v>68</v>
      </c>
    </row>
    <row r="35" spans="1:10">
      <c r="A35" t="s">
        <v>290</v>
      </c>
      <c r="I35" s="1"/>
      <c r="J35" s="11">
        <f>J18</f>
        <v>0</v>
      </c>
    </row>
    <row r="36" spans="1:10">
      <c r="A36" t="s">
        <v>285</v>
      </c>
      <c r="I36" s="6"/>
      <c r="J36" s="11">
        <f>J34*J35</f>
        <v>0</v>
      </c>
    </row>
    <row r="37" spans="1:10">
      <c r="A37" t="s">
        <v>278</v>
      </c>
      <c r="J37" s="211">
        <f>J36*0.746</f>
        <v>0</v>
      </c>
    </row>
    <row r="38" spans="1:10">
      <c r="A38" t="s">
        <v>316</v>
      </c>
      <c r="J38" s="29">
        <f>'Unit Costs'!$F$55</f>
        <v>0.1027</v>
      </c>
    </row>
    <row r="39" spans="1:10" ht="13.5" thickBot="1">
      <c r="J39" s="2"/>
    </row>
    <row r="40" spans="1:10" ht="16.5" thickBot="1">
      <c r="A40" s="9" t="s">
        <v>243</v>
      </c>
      <c r="J40" s="125">
        <f>J28*J37*J38</f>
        <v>0</v>
      </c>
    </row>
    <row r="41" spans="1:10">
      <c r="J41" s="2"/>
    </row>
    <row r="42" spans="1:10" ht="15.75">
      <c r="A42" s="9" t="s">
        <v>8</v>
      </c>
      <c r="J42" s="2"/>
    </row>
    <row r="43" spans="1:10" ht="14.25">
      <c r="A43" s="214" t="s">
        <v>281</v>
      </c>
      <c r="J43" s="2"/>
    </row>
    <row r="44" spans="1:10">
      <c r="A44" t="s">
        <v>290</v>
      </c>
      <c r="J44" s="58">
        <f>$J18</f>
        <v>0</v>
      </c>
    </row>
    <row r="45" spans="1:10">
      <c r="A45" t="s">
        <v>291</v>
      </c>
      <c r="J45" s="126">
        <f>'Unit Costs'!$F$58</f>
        <v>196300</v>
      </c>
    </row>
    <row r="47" spans="1:10">
      <c r="A47" t="s">
        <v>283</v>
      </c>
      <c r="J47" s="124">
        <f>J44*J45</f>
        <v>0</v>
      </c>
    </row>
    <row r="48" spans="1:10">
      <c r="A48" t="s">
        <v>288</v>
      </c>
      <c r="J48" s="124">
        <f>J47*0.1</f>
        <v>0</v>
      </c>
    </row>
    <row r="49" spans="1:12" ht="13.5" thickBot="1">
      <c r="J49" s="2"/>
    </row>
    <row r="50" spans="1:12" ht="13.5" thickBot="1">
      <c r="A50" t="s">
        <v>282</v>
      </c>
      <c r="J50" s="216">
        <f>J47+J48</f>
        <v>0</v>
      </c>
    </row>
    <row r="51" spans="1:12">
      <c r="J51" s="2"/>
    </row>
    <row r="52" spans="1:12" ht="14.25">
      <c r="A52" s="214" t="s">
        <v>293</v>
      </c>
      <c r="L52" s="10"/>
    </row>
    <row r="53" spans="1:12">
      <c r="A53" s="6" t="s">
        <v>315</v>
      </c>
      <c r="J53" s="7">
        <f>IF(J32&gt;20,ROUND(J44/2,0),0)</f>
        <v>0</v>
      </c>
      <c r="L53" s="10"/>
    </row>
    <row r="54" spans="1:12">
      <c r="A54" s="6" t="s">
        <v>306</v>
      </c>
      <c r="J54" s="126">
        <f>'Unit Costs'!$F$59</f>
        <v>76429</v>
      </c>
      <c r="L54" s="10"/>
    </row>
    <row r="55" spans="1:12">
      <c r="J55" s="2"/>
      <c r="L55" s="10"/>
    </row>
    <row r="56" spans="1:12">
      <c r="A56" t="s">
        <v>286</v>
      </c>
      <c r="J56" s="124">
        <f>J53*J54</f>
        <v>0</v>
      </c>
      <c r="L56" s="10"/>
    </row>
    <row r="57" spans="1:12">
      <c r="A57" t="s">
        <v>288</v>
      </c>
      <c r="J57" s="124">
        <f>J56*0.1</f>
        <v>0</v>
      </c>
    </row>
    <row r="58" spans="1:12" ht="13.5" thickBot="1">
      <c r="J58" s="2"/>
      <c r="L58" s="10"/>
    </row>
    <row r="59" spans="1:12" ht="13.5" thickBot="1">
      <c r="A59" t="s">
        <v>287</v>
      </c>
      <c r="J59" s="216">
        <f>J56+J57</f>
        <v>0</v>
      </c>
    </row>
    <row r="60" spans="1:12" ht="13.5" thickBot="1">
      <c r="J60" s="215"/>
    </row>
    <row r="61" spans="1:12" ht="16.5" thickBot="1">
      <c r="A61" s="9" t="s">
        <v>289</v>
      </c>
      <c r="J61" s="216">
        <f>J50+J59</f>
        <v>0</v>
      </c>
    </row>
    <row r="62" spans="1:12" ht="13.5" thickBot="1">
      <c r="J62" s="215"/>
    </row>
    <row r="63" spans="1:12" ht="16.5" thickBot="1">
      <c r="A63" s="9" t="s">
        <v>375</v>
      </c>
      <c r="J63" s="125">
        <f>J40+J61</f>
        <v>0</v>
      </c>
      <c r="L63" s="10"/>
    </row>
    <row r="64" spans="1:12">
      <c r="L64" s="106"/>
    </row>
    <row r="65" spans="1:12">
      <c r="L65" s="107"/>
    </row>
    <row r="66" spans="1:12">
      <c r="L66" s="3"/>
    </row>
    <row r="67" spans="1:12" ht="20.25">
      <c r="A67" s="285">
        <f>'User Inputs'!C11</f>
        <v>0</v>
      </c>
      <c r="B67" s="286"/>
      <c r="C67" s="287"/>
      <c r="L67" s="3"/>
    </row>
    <row r="68" spans="1:12">
      <c r="G68" s="1"/>
      <c r="H68" s="110"/>
      <c r="I68" s="1"/>
      <c r="J68" s="6"/>
      <c r="L68" s="3"/>
    </row>
    <row r="69" spans="1:12" ht="15.75">
      <c r="A69" s="9" t="s">
        <v>35</v>
      </c>
      <c r="L69" s="4"/>
    </row>
    <row r="70" spans="1:12">
      <c r="A70" s="32" t="s">
        <v>58</v>
      </c>
      <c r="L70" s="4"/>
    </row>
    <row r="71" spans="1:12" ht="15">
      <c r="A71" s="188" t="s">
        <v>203</v>
      </c>
      <c r="L71" s="108"/>
    </row>
    <row r="72" spans="1:12">
      <c r="A72" t="s">
        <v>185</v>
      </c>
      <c r="G72" s="1"/>
      <c r="H72" s="110"/>
      <c r="I72" s="1"/>
      <c r="J72" s="127">
        <f>'User Inputs'!F$54</f>
        <v>0</v>
      </c>
      <c r="L72" s="4"/>
    </row>
    <row r="73" spans="1:12">
      <c r="A73" t="s">
        <v>295</v>
      </c>
      <c r="G73" s="1"/>
      <c r="H73" s="110"/>
      <c r="I73" s="1"/>
      <c r="J73" s="58">
        <f>'User Inputs'!F$56</f>
        <v>0</v>
      </c>
      <c r="L73" s="4"/>
    </row>
    <row r="74" spans="1:12">
      <c r="A74" t="s">
        <v>277</v>
      </c>
      <c r="G74" s="1"/>
      <c r="H74" s="110"/>
      <c r="I74" s="1"/>
      <c r="J74" s="128">
        <f>'User Inputs'!F$57</f>
        <v>0</v>
      </c>
    </row>
    <row r="75" spans="1:12">
      <c r="G75" s="1"/>
      <c r="H75" s="110"/>
      <c r="I75" s="1"/>
      <c r="J75" s="2"/>
      <c r="L75" s="108"/>
    </row>
    <row r="76" spans="1:12">
      <c r="A76" t="s">
        <v>204</v>
      </c>
      <c r="J76" s="7">
        <v>160</v>
      </c>
      <c r="L76" s="108"/>
    </row>
    <row r="77" spans="1:12">
      <c r="A77" t="s">
        <v>206</v>
      </c>
      <c r="G77" s="1"/>
      <c r="H77" s="6"/>
      <c r="I77" s="6"/>
      <c r="J77" s="128">
        <f>J74</f>
        <v>0</v>
      </c>
      <c r="L77" s="108"/>
    </row>
    <row r="78" spans="1:12">
      <c r="A78" t="s">
        <v>205</v>
      </c>
      <c r="G78" s="1"/>
      <c r="H78" s="6"/>
      <c r="I78" s="6"/>
      <c r="J78" s="7">
        <v>12</v>
      </c>
      <c r="L78" s="108"/>
    </row>
    <row r="79" spans="1:12" ht="18">
      <c r="G79" s="113"/>
      <c r="H79" s="114"/>
      <c r="I79" s="114"/>
      <c r="J79" s="2"/>
    </row>
    <row r="80" spans="1:12">
      <c r="A80" t="s">
        <v>207</v>
      </c>
      <c r="G80" s="122"/>
      <c r="H80" s="122"/>
      <c r="I80" s="122"/>
      <c r="J80" s="11">
        <f>J76*J77*60*J73</f>
        <v>0</v>
      </c>
    </row>
    <row r="81" spans="1:12">
      <c r="A81" t="s">
        <v>208</v>
      </c>
      <c r="G81" s="115"/>
      <c r="H81" s="115"/>
      <c r="I81" s="116"/>
      <c r="J81" s="11">
        <f>J80*J78</f>
        <v>0</v>
      </c>
      <c r="L81" s="4"/>
    </row>
    <row r="82" spans="1:12" ht="13.5" thickBot="1">
      <c r="G82" s="115"/>
      <c r="H82" s="115"/>
      <c r="I82" s="116"/>
      <c r="J82" s="2"/>
      <c r="L82" s="4"/>
    </row>
    <row r="83" spans="1:12" ht="13.5" thickBot="1">
      <c r="A83" t="s">
        <v>209</v>
      </c>
      <c r="G83" s="119"/>
      <c r="H83" s="120"/>
      <c r="I83" s="121"/>
      <c r="J83" s="217">
        <f>IF(J80=0,0,(J72*1000000)/J80)</f>
        <v>0</v>
      </c>
      <c r="L83" s="4"/>
    </row>
    <row r="84" spans="1:12">
      <c r="L84" s="3"/>
    </row>
    <row r="85" spans="1:12">
      <c r="A85" t="s">
        <v>296</v>
      </c>
      <c r="J85" s="11">
        <v>51</v>
      </c>
    </row>
    <row r="86" spans="1:12">
      <c r="A86" t="s">
        <v>292</v>
      </c>
      <c r="J86" s="11">
        <f>51/0.746</f>
        <v>68.364611260053621</v>
      </c>
    </row>
    <row r="87" spans="1:12">
      <c r="A87" t="s">
        <v>294</v>
      </c>
      <c r="G87" s="119"/>
      <c r="H87" s="120"/>
      <c r="I87" s="121"/>
      <c r="J87" s="11">
        <f>'User Inputs'!F$55</f>
        <v>0</v>
      </c>
    </row>
    <row r="88" spans="1:12">
      <c r="A88" t="s">
        <v>302</v>
      </c>
      <c r="J88" s="11">
        <f>(J76*J87*1.25)/(3960*0.9)</f>
        <v>0</v>
      </c>
    </row>
    <row r="89" spans="1:12">
      <c r="A89" t="s">
        <v>303</v>
      </c>
      <c r="I89" s="6"/>
      <c r="J89" s="11">
        <f>ROUND(J86+J88,0)</f>
        <v>68</v>
      </c>
    </row>
    <row r="90" spans="1:12">
      <c r="A90" t="s">
        <v>290</v>
      </c>
      <c r="I90" s="1"/>
      <c r="J90" s="11">
        <f>J73</f>
        <v>0</v>
      </c>
    </row>
    <row r="91" spans="1:12">
      <c r="A91" t="s">
        <v>285</v>
      </c>
      <c r="I91" s="6"/>
      <c r="J91" s="11">
        <f>J89*J90</f>
        <v>0</v>
      </c>
    </row>
    <row r="92" spans="1:12">
      <c r="A92" t="s">
        <v>278</v>
      </c>
      <c r="J92" s="211">
        <f>J91*0.746</f>
        <v>0</v>
      </c>
    </row>
    <row r="93" spans="1:12">
      <c r="A93" t="s">
        <v>316</v>
      </c>
      <c r="J93" s="29">
        <f>'Unit Costs'!$F$55</f>
        <v>0.1027</v>
      </c>
    </row>
    <row r="94" spans="1:12" ht="13.5" thickBot="1">
      <c r="J94" s="2"/>
    </row>
    <row r="95" spans="1:12" ht="16.5" thickBot="1">
      <c r="A95" s="9" t="s">
        <v>243</v>
      </c>
      <c r="J95" s="125">
        <f>J83*J92*J93</f>
        <v>0</v>
      </c>
    </row>
    <row r="96" spans="1:12">
      <c r="J96" s="2"/>
    </row>
    <row r="97" spans="1:10" ht="15.75">
      <c r="A97" s="9" t="s">
        <v>8</v>
      </c>
      <c r="J97" s="2"/>
    </row>
    <row r="98" spans="1:10" ht="14.25">
      <c r="A98" s="214" t="s">
        <v>281</v>
      </c>
      <c r="J98" s="2"/>
    </row>
    <row r="99" spans="1:10">
      <c r="A99" t="s">
        <v>290</v>
      </c>
      <c r="J99" s="58">
        <f>$J73</f>
        <v>0</v>
      </c>
    </row>
    <row r="100" spans="1:10">
      <c r="A100" t="s">
        <v>291</v>
      </c>
      <c r="J100" s="126">
        <f>'Unit Costs'!$F$58</f>
        <v>196300</v>
      </c>
    </row>
    <row r="102" spans="1:10">
      <c r="A102" t="s">
        <v>283</v>
      </c>
      <c r="J102" s="124">
        <f>J99*J100</f>
        <v>0</v>
      </c>
    </row>
    <row r="103" spans="1:10">
      <c r="A103" t="s">
        <v>288</v>
      </c>
      <c r="J103" s="124">
        <f>J102*0.1</f>
        <v>0</v>
      </c>
    </row>
    <row r="104" spans="1:10" ht="13.5" thickBot="1">
      <c r="J104" s="2"/>
    </row>
    <row r="105" spans="1:10" ht="13.5" thickBot="1">
      <c r="A105" t="s">
        <v>282</v>
      </c>
      <c r="J105" s="216">
        <f>J102+J103</f>
        <v>0</v>
      </c>
    </row>
    <row r="106" spans="1:10">
      <c r="J106" s="2"/>
    </row>
    <row r="107" spans="1:10" ht="14.25">
      <c r="A107" s="214" t="s">
        <v>293</v>
      </c>
    </row>
    <row r="108" spans="1:10">
      <c r="A108" s="6" t="s">
        <v>315</v>
      </c>
      <c r="J108" s="7">
        <f>IF(J87&gt;20,ROUND(J99/2,0),0)</f>
        <v>0</v>
      </c>
    </row>
    <row r="109" spans="1:10">
      <c r="A109" s="6" t="s">
        <v>306</v>
      </c>
      <c r="J109" s="126">
        <f>'Unit Costs'!$F$59</f>
        <v>76429</v>
      </c>
    </row>
    <row r="110" spans="1:10">
      <c r="J110" s="2"/>
    </row>
    <row r="111" spans="1:10">
      <c r="A111" t="s">
        <v>286</v>
      </c>
      <c r="J111" s="124">
        <f>J108*J109</f>
        <v>0</v>
      </c>
    </row>
    <row r="112" spans="1:10">
      <c r="A112" t="s">
        <v>288</v>
      </c>
      <c r="J112" s="124">
        <f>J111*0.1</f>
        <v>0</v>
      </c>
    </row>
    <row r="113" spans="1:10" ht="13.5" thickBot="1">
      <c r="J113" s="2"/>
    </row>
    <row r="114" spans="1:10" ht="13.5" thickBot="1">
      <c r="A114" t="s">
        <v>287</v>
      </c>
      <c r="J114" s="216">
        <f>J111+J112</f>
        <v>0</v>
      </c>
    </row>
    <row r="115" spans="1:10" ht="13.5" thickBot="1">
      <c r="J115" s="215"/>
    </row>
    <row r="116" spans="1:10" ht="16.5" thickBot="1">
      <c r="A116" s="9" t="s">
        <v>289</v>
      </c>
      <c r="J116" s="216">
        <f>J105+J114</f>
        <v>0</v>
      </c>
    </row>
    <row r="117" spans="1:10" ht="13.5" thickBot="1">
      <c r="J117" s="215"/>
    </row>
    <row r="118" spans="1:10" ht="16.5" thickBot="1">
      <c r="A118" s="9" t="s">
        <v>376</v>
      </c>
      <c r="J118" s="125">
        <f>J95+J116</f>
        <v>0</v>
      </c>
    </row>
    <row r="122" spans="1:10" ht="20.25">
      <c r="A122" s="282">
        <f>'User Inputs'!C12</f>
        <v>0</v>
      </c>
      <c r="B122" s="283"/>
      <c r="C122" s="284"/>
    </row>
    <row r="123" spans="1:10">
      <c r="G123" s="1"/>
      <c r="H123" s="110"/>
      <c r="I123" s="1"/>
      <c r="J123" s="6"/>
    </row>
    <row r="124" spans="1:10" ht="15.75">
      <c r="A124" s="9" t="s">
        <v>35</v>
      </c>
    </row>
    <row r="125" spans="1:10">
      <c r="A125" s="32" t="s">
        <v>58</v>
      </c>
    </row>
    <row r="126" spans="1:10" ht="15">
      <c r="A126" s="188" t="s">
        <v>203</v>
      </c>
    </row>
    <row r="127" spans="1:10">
      <c r="A127" t="s">
        <v>185</v>
      </c>
      <c r="G127" s="1"/>
      <c r="H127" s="110"/>
      <c r="I127" s="1"/>
      <c r="J127" s="127">
        <f>'User Inputs'!G$54</f>
        <v>0</v>
      </c>
    </row>
    <row r="128" spans="1:10">
      <c r="A128" t="s">
        <v>295</v>
      </c>
      <c r="G128" s="1"/>
      <c r="H128" s="110"/>
      <c r="I128" s="1"/>
      <c r="J128" s="58">
        <f>'User Inputs'!G$56</f>
        <v>0</v>
      </c>
    </row>
    <row r="129" spans="1:10">
      <c r="A129" t="s">
        <v>277</v>
      </c>
      <c r="G129" s="1"/>
      <c r="H129" s="110"/>
      <c r="I129" s="1"/>
      <c r="J129" s="128">
        <f>'User Inputs'!G$57</f>
        <v>0</v>
      </c>
    </row>
    <row r="130" spans="1:10">
      <c r="G130" s="1"/>
      <c r="H130" s="110"/>
      <c r="I130" s="1"/>
      <c r="J130" s="2"/>
    </row>
    <row r="131" spans="1:10">
      <c r="A131" t="s">
        <v>204</v>
      </c>
      <c r="J131" s="7">
        <v>160</v>
      </c>
    </row>
    <row r="132" spans="1:10">
      <c r="A132" t="s">
        <v>206</v>
      </c>
      <c r="G132" s="1"/>
      <c r="H132" s="6"/>
      <c r="I132" s="6"/>
      <c r="J132" s="128">
        <f>J129</f>
        <v>0</v>
      </c>
    </row>
    <row r="133" spans="1:10">
      <c r="A133" t="s">
        <v>205</v>
      </c>
      <c r="G133" s="1"/>
      <c r="H133" s="6"/>
      <c r="I133" s="6"/>
      <c r="J133" s="7">
        <v>12</v>
      </c>
    </row>
    <row r="134" spans="1:10" ht="18">
      <c r="G134" s="113"/>
      <c r="H134" s="114"/>
      <c r="I134" s="114"/>
      <c r="J134" s="2"/>
    </row>
    <row r="135" spans="1:10">
      <c r="A135" t="s">
        <v>207</v>
      </c>
      <c r="G135" s="122"/>
      <c r="H135" s="122"/>
      <c r="I135" s="122"/>
      <c r="J135" s="11">
        <f>J131*J132*60*J128</f>
        <v>0</v>
      </c>
    </row>
    <row r="136" spans="1:10">
      <c r="A136" t="s">
        <v>208</v>
      </c>
      <c r="G136" s="115"/>
      <c r="H136" s="115"/>
      <c r="I136" s="116"/>
      <c r="J136" s="11">
        <f>J135*J133</f>
        <v>0</v>
      </c>
    </row>
    <row r="137" spans="1:10" ht="13.5" thickBot="1">
      <c r="G137" s="115"/>
      <c r="H137" s="115"/>
      <c r="I137" s="116"/>
      <c r="J137" s="2"/>
    </row>
    <row r="138" spans="1:10" ht="13.5" thickBot="1">
      <c r="A138" t="s">
        <v>209</v>
      </c>
      <c r="G138" s="119"/>
      <c r="H138" s="120"/>
      <c r="I138" s="121"/>
      <c r="J138" s="217">
        <f>IF(J135=0,0,(J127*1000000)/J135)</f>
        <v>0</v>
      </c>
    </row>
    <row r="140" spans="1:10">
      <c r="A140" t="s">
        <v>296</v>
      </c>
      <c r="J140" s="11">
        <v>51</v>
      </c>
    </row>
    <row r="141" spans="1:10">
      <c r="A141" t="s">
        <v>292</v>
      </c>
      <c r="J141" s="11">
        <f>51/0.746</f>
        <v>68.364611260053621</v>
      </c>
    </row>
    <row r="142" spans="1:10">
      <c r="A142" t="s">
        <v>294</v>
      </c>
      <c r="G142" s="119"/>
      <c r="H142" s="120"/>
      <c r="I142" s="121"/>
      <c r="J142" s="11">
        <f>'User Inputs'!G$55</f>
        <v>0</v>
      </c>
    </row>
    <row r="143" spans="1:10">
      <c r="A143" t="s">
        <v>302</v>
      </c>
      <c r="J143" s="11">
        <f>(J131*J142*1.25)/(3960*0.9)</f>
        <v>0</v>
      </c>
    </row>
    <row r="144" spans="1:10">
      <c r="A144" t="s">
        <v>303</v>
      </c>
      <c r="I144" s="6"/>
      <c r="J144" s="11">
        <f>ROUND(J141+J143,0)</f>
        <v>68</v>
      </c>
    </row>
    <row r="145" spans="1:10">
      <c r="A145" t="s">
        <v>290</v>
      </c>
      <c r="I145" s="1"/>
      <c r="J145" s="11">
        <f>J128</f>
        <v>0</v>
      </c>
    </row>
    <row r="146" spans="1:10">
      <c r="A146" t="s">
        <v>285</v>
      </c>
      <c r="I146" s="6"/>
      <c r="J146" s="11">
        <f>J144*J145</f>
        <v>0</v>
      </c>
    </row>
    <row r="147" spans="1:10">
      <c r="A147" t="s">
        <v>278</v>
      </c>
      <c r="J147" s="211">
        <f>J146*0.746</f>
        <v>0</v>
      </c>
    </row>
    <row r="148" spans="1:10">
      <c r="A148" t="s">
        <v>316</v>
      </c>
      <c r="J148" s="29">
        <f>'Unit Costs'!$F$55</f>
        <v>0.1027</v>
      </c>
    </row>
    <row r="149" spans="1:10" ht="13.5" thickBot="1">
      <c r="J149" s="2"/>
    </row>
    <row r="150" spans="1:10" ht="16.5" thickBot="1">
      <c r="A150" s="9" t="s">
        <v>243</v>
      </c>
      <c r="J150" s="125">
        <f>J138*J147*J148</f>
        <v>0</v>
      </c>
    </row>
    <row r="151" spans="1:10">
      <c r="J151" s="2"/>
    </row>
    <row r="152" spans="1:10" ht="15.75">
      <c r="A152" s="9" t="s">
        <v>8</v>
      </c>
      <c r="J152" s="2"/>
    </row>
    <row r="153" spans="1:10" ht="14.25">
      <c r="A153" s="214" t="s">
        <v>281</v>
      </c>
      <c r="J153" s="2"/>
    </row>
    <row r="154" spans="1:10">
      <c r="A154" t="s">
        <v>290</v>
      </c>
      <c r="J154" s="58">
        <f>$J128</f>
        <v>0</v>
      </c>
    </row>
    <row r="155" spans="1:10">
      <c r="A155" t="s">
        <v>291</v>
      </c>
      <c r="J155" s="126">
        <f>'Unit Costs'!$F$58</f>
        <v>196300</v>
      </c>
    </row>
    <row r="157" spans="1:10">
      <c r="A157" t="s">
        <v>283</v>
      </c>
      <c r="J157" s="124">
        <f>J154*J155</f>
        <v>0</v>
      </c>
    </row>
    <row r="158" spans="1:10">
      <c r="A158" t="s">
        <v>288</v>
      </c>
      <c r="J158" s="124">
        <f>J157*0.1</f>
        <v>0</v>
      </c>
    </row>
    <row r="159" spans="1:10" ht="13.5" thickBot="1">
      <c r="J159" s="2"/>
    </row>
    <row r="160" spans="1:10" ht="13.5" thickBot="1">
      <c r="A160" t="s">
        <v>282</v>
      </c>
      <c r="J160" s="216">
        <f>J157+J158</f>
        <v>0</v>
      </c>
    </row>
    <row r="161" spans="1:10">
      <c r="J161" s="2"/>
    </row>
    <row r="162" spans="1:10" ht="14.25">
      <c r="A162" s="214" t="s">
        <v>293</v>
      </c>
    </row>
    <row r="163" spans="1:10">
      <c r="A163" s="6" t="s">
        <v>315</v>
      </c>
      <c r="J163" s="7">
        <f>IF(J142&gt;20,ROUND(J154/2,0),0)</f>
        <v>0</v>
      </c>
    </row>
    <row r="164" spans="1:10">
      <c r="A164" s="6" t="s">
        <v>306</v>
      </c>
      <c r="J164" s="126">
        <f>'Unit Costs'!$F$59</f>
        <v>76429</v>
      </c>
    </row>
    <row r="165" spans="1:10">
      <c r="J165" s="2"/>
    </row>
    <row r="166" spans="1:10">
      <c r="A166" t="s">
        <v>286</v>
      </c>
      <c r="J166" s="124">
        <f>J163*J164</f>
        <v>0</v>
      </c>
    </row>
    <row r="167" spans="1:10">
      <c r="A167" t="s">
        <v>288</v>
      </c>
      <c r="J167" s="124">
        <f>J166*0.1</f>
        <v>0</v>
      </c>
    </row>
    <row r="168" spans="1:10" ht="13.5" thickBot="1">
      <c r="J168" s="2"/>
    </row>
    <row r="169" spans="1:10" ht="13.5" thickBot="1">
      <c r="A169" t="s">
        <v>287</v>
      </c>
      <c r="J169" s="216">
        <f>J166+J167</f>
        <v>0</v>
      </c>
    </row>
    <row r="170" spans="1:10" ht="13.5" thickBot="1">
      <c r="J170" s="215"/>
    </row>
    <row r="171" spans="1:10" ht="16.5" thickBot="1">
      <c r="A171" s="9" t="s">
        <v>289</v>
      </c>
      <c r="J171" s="216">
        <f>J160+J169</f>
        <v>0</v>
      </c>
    </row>
    <row r="172" spans="1:10" ht="13.5" thickBot="1">
      <c r="J172" s="215"/>
    </row>
    <row r="173" spans="1:10" ht="16.5" thickBot="1">
      <c r="A173" s="9" t="s">
        <v>377</v>
      </c>
      <c r="J173" s="125">
        <f>J150+J171</f>
        <v>0</v>
      </c>
    </row>
    <row r="177" spans="1:10" ht="20.25">
      <c r="A177" s="282">
        <f>'User Inputs'!C13</f>
        <v>0</v>
      </c>
      <c r="B177" s="283"/>
      <c r="C177" s="284"/>
    </row>
    <row r="178" spans="1:10">
      <c r="G178" s="1"/>
      <c r="H178" s="110"/>
      <c r="I178" s="1"/>
      <c r="J178" s="6"/>
    </row>
    <row r="179" spans="1:10" ht="15.75">
      <c r="A179" s="9" t="s">
        <v>35</v>
      </c>
    </row>
    <row r="180" spans="1:10">
      <c r="A180" s="32" t="s">
        <v>58</v>
      </c>
    </row>
    <row r="181" spans="1:10" ht="15">
      <c r="A181" s="188" t="s">
        <v>203</v>
      </c>
    </row>
    <row r="182" spans="1:10">
      <c r="A182" t="s">
        <v>185</v>
      </c>
      <c r="G182" s="1"/>
      <c r="H182" s="110"/>
      <c r="I182" s="1"/>
      <c r="J182" s="127">
        <f>'User Inputs'!H$54</f>
        <v>0</v>
      </c>
    </row>
    <row r="183" spans="1:10">
      <c r="A183" t="s">
        <v>295</v>
      </c>
      <c r="G183" s="1"/>
      <c r="H183" s="110"/>
      <c r="I183" s="1"/>
      <c r="J183" s="58">
        <f>'User Inputs'!H$56</f>
        <v>0</v>
      </c>
    </row>
    <row r="184" spans="1:10">
      <c r="A184" t="s">
        <v>277</v>
      </c>
      <c r="G184" s="1"/>
      <c r="H184" s="110"/>
      <c r="I184" s="1"/>
      <c r="J184" s="128">
        <f>'User Inputs'!H$57</f>
        <v>0</v>
      </c>
    </row>
    <row r="185" spans="1:10">
      <c r="G185" s="1"/>
      <c r="H185" s="110"/>
      <c r="I185" s="1"/>
      <c r="J185" s="2"/>
    </row>
    <row r="186" spans="1:10">
      <c r="A186" t="s">
        <v>204</v>
      </c>
      <c r="J186" s="7">
        <v>160</v>
      </c>
    </row>
    <row r="187" spans="1:10">
      <c r="A187" t="s">
        <v>206</v>
      </c>
      <c r="G187" s="1"/>
      <c r="H187" s="6"/>
      <c r="I187" s="6"/>
      <c r="J187" s="128">
        <f>J184</f>
        <v>0</v>
      </c>
    </row>
    <row r="188" spans="1:10">
      <c r="A188" t="s">
        <v>205</v>
      </c>
      <c r="G188" s="1"/>
      <c r="H188" s="6"/>
      <c r="I188" s="6"/>
      <c r="J188" s="7">
        <v>12</v>
      </c>
    </row>
    <row r="189" spans="1:10" ht="18">
      <c r="G189" s="113"/>
      <c r="H189" s="114"/>
      <c r="I189" s="114"/>
      <c r="J189" s="2"/>
    </row>
    <row r="190" spans="1:10">
      <c r="A190" t="s">
        <v>207</v>
      </c>
      <c r="G190" s="122"/>
      <c r="H190" s="122"/>
      <c r="I190" s="122"/>
      <c r="J190" s="11">
        <f>J186*J187*60*J183</f>
        <v>0</v>
      </c>
    </row>
    <row r="191" spans="1:10">
      <c r="A191" t="s">
        <v>208</v>
      </c>
      <c r="G191" s="115"/>
      <c r="H191" s="115"/>
      <c r="I191" s="116"/>
      <c r="J191" s="11">
        <f>J190*J188</f>
        <v>0</v>
      </c>
    </row>
    <row r="192" spans="1:10" ht="13.5" thickBot="1">
      <c r="G192" s="115"/>
      <c r="H192" s="115"/>
      <c r="I192" s="116"/>
      <c r="J192" s="2"/>
    </row>
    <row r="193" spans="1:10" ht="13.5" thickBot="1">
      <c r="A193" t="s">
        <v>209</v>
      </c>
      <c r="G193" s="119"/>
      <c r="H193" s="120"/>
      <c r="I193" s="121"/>
      <c r="J193" s="217">
        <f>IF(J190=0,0,(J182*1000000)/J190)</f>
        <v>0</v>
      </c>
    </row>
    <row r="195" spans="1:10">
      <c r="A195" t="s">
        <v>296</v>
      </c>
      <c r="J195" s="11">
        <v>51</v>
      </c>
    </row>
    <row r="196" spans="1:10">
      <c r="A196" t="s">
        <v>292</v>
      </c>
      <c r="J196" s="11">
        <f>51/0.746</f>
        <v>68.364611260053621</v>
      </c>
    </row>
    <row r="197" spans="1:10">
      <c r="A197" t="s">
        <v>294</v>
      </c>
      <c r="G197" s="119"/>
      <c r="H197" s="120"/>
      <c r="I197" s="121"/>
      <c r="J197" s="11">
        <f>'User Inputs'!H$55</f>
        <v>0</v>
      </c>
    </row>
    <row r="198" spans="1:10">
      <c r="A198" t="s">
        <v>302</v>
      </c>
      <c r="J198" s="11">
        <f>(J186*J197*1.25)/(3960*0.9)</f>
        <v>0</v>
      </c>
    </row>
    <row r="199" spans="1:10">
      <c r="A199" t="s">
        <v>303</v>
      </c>
      <c r="I199" s="6"/>
      <c r="J199" s="11">
        <f>ROUND(J196+J198,0)</f>
        <v>68</v>
      </c>
    </row>
    <row r="200" spans="1:10">
      <c r="A200" t="s">
        <v>290</v>
      </c>
      <c r="I200" s="1"/>
      <c r="J200" s="11">
        <f>J183</f>
        <v>0</v>
      </c>
    </row>
    <row r="201" spans="1:10">
      <c r="A201" t="s">
        <v>285</v>
      </c>
      <c r="I201" s="6"/>
      <c r="J201" s="11">
        <f>J199*J200</f>
        <v>0</v>
      </c>
    </row>
    <row r="202" spans="1:10">
      <c r="A202" t="s">
        <v>278</v>
      </c>
      <c r="J202" s="211">
        <f>J201*0.746</f>
        <v>0</v>
      </c>
    </row>
    <row r="203" spans="1:10">
      <c r="A203" t="s">
        <v>316</v>
      </c>
      <c r="J203" s="29">
        <f>'Unit Costs'!$F$55</f>
        <v>0.1027</v>
      </c>
    </row>
    <row r="204" spans="1:10" ht="13.5" thickBot="1">
      <c r="J204" s="2"/>
    </row>
    <row r="205" spans="1:10" ht="16.5" thickBot="1">
      <c r="A205" s="9" t="s">
        <v>243</v>
      </c>
      <c r="J205" s="125">
        <f>J193*J202*J203</f>
        <v>0</v>
      </c>
    </row>
    <row r="206" spans="1:10">
      <c r="J206" s="2"/>
    </row>
    <row r="207" spans="1:10" ht="15.75">
      <c r="A207" s="9" t="s">
        <v>8</v>
      </c>
      <c r="J207" s="2"/>
    </row>
    <row r="208" spans="1:10" ht="14.25">
      <c r="A208" s="214" t="s">
        <v>281</v>
      </c>
      <c r="J208" s="2"/>
    </row>
    <row r="209" spans="1:10">
      <c r="A209" t="s">
        <v>290</v>
      </c>
      <c r="J209" s="58">
        <f>$J183</f>
        <v>0</v>
      </c>
    </row>
    <row r="210" spans="1:10">
      <c r="A210" t="s">
        <v>291</v>
      </c>
      <c r="J210" s="126">
        <f>'Unit Costs'!$F$58</f>
        <v>196300</v>
      </c>
    </row>
    <row r="212" spans="1:10">
      <c r="A212" t="s">
        <v>283</v>
      </c>
      <c r="J212" s="124">
        <f>J209*J210</f>
        <v>0</v>
      </c>
    </row>
    <row r="213" spans="1:10">
      <c r="A213" t="s">
        <v>288</v>
      </c>
      <c r="J213" s="124">
        <f>J212*0.1</f>
        <v>0</v>
      </c>
    </row>
    <row r="214" spans="1:10" ht="13.5" thickBot="1">
      <c r="J214" s="2"/>
    </row>
    <row r="215" spans="1:10" ht="13.5" thickBot="1">
      <c r="A215" t="s">
        <v>282</v>
      </c>
      <c r="J215" s="216">
        <f>J212+J213</f>
        <v>0</v>
      </c>
    </row>
    <row r="216" spans="1:10">
      <c r="J216" s="2"/>
    </row>
    <row r="217" spans="1:10" ht="14.25">
      <c r="A217" s="214" t="s">
        <v>293</v>
      </c>
    </row>
    <row r="218" spans="1:10">
      <c r="A218" s="6" t="s">
        <v>315</v>
      </c>
      <c r="J218" s="7">
        <f>CEILING(J198*J200/50,1)</f>
        <v>0</v>
      </c>
    </row>
    <row r="219" spans="1:10">
      <c r="A219" s="6" t="s">
        <v>306</v>
      </c>
      <c r="J219" s="126">
        <f>'Unit Costs'!$F$59</f>
        <v>76429</v>
      </c>
    </row>
    <row r="220" spans="1:10">
      <c r="J220" s="2"/>
    </row>
    <row r="221" spans="1:10">
      <c r="A221" t="s">
        <v>286</v>
      </c>
      <c r="J221" s="124">
        <f>J218*J219</f>
        <v>0</v>
      </c>
    </row>
    <row r="222" spans="1:10">
      <c r="A222" t="s">
        <v>288</v>
      </c>
      <c r="J222" s="124">
        <f>J221*0.1</f>
        <v>0</v>
      </c>
    </row>
    <row r="223" spans="1:10" ht="13.5" thickBot="1">
      <c r="J223" s="2"/>
    </row>
    <row r="224" spans="1:10" ht="13.5" thickBot="1">
      <c r="A224" t="s">
        <v>287</v>
      </c>
      <c r="J224" s="216">
        <f>J221+J222</f>
        <v>0</v>
      </c>
    </row>
    <row r="225" spans="1:10" ht="13.5" thickBot="1">
      <c r="J225" s="215"/>
    </row>
    <row r="226" spans="1:10" ht="16.5" thickBot="1">
      <c r="A226" s="9" t="s">
        <v>289</v>
      </c>
      <c r="J226" s="216">
        <f>J215+J224</f>
        <v>0</v>
      </c>
    </row>
    <row r="227" spans="1:10" ht="13.5" thickBot="1">
      <c r="J227" s="215"/>
    </row>
    <row r="228" spans="1:10" ht="16.5" thickBot="1">
      <c r="A228" s="9" t="s">
        <v>378</v>
      </c>
      <c r="J228" s="125">
        <f>J205+J226</f>
        <v>0</v>
      </c>
    </row>
    <row r="231" spans="1:10" ht="15">
      <c r="G231" s="23" t="s">
        <v>41</v>
      </c>
      <c r="H231" s="23" t="s">
        <v>42</v>
      </c>
      <c r="I231" s="23" t="s">
        <v>43</v>
      </c>
      <c r="J231" s="23" t="s">
        <v>6</v>
      </c>
    </row>
    <row r="232" spans="1:10" ht="15.75" thickBot="1">
      <c r="H232" s="222"/>
    </row>
    <row r="233" spans="1:10" ht="18.75" thickBot="1">
      <c r="A233" s="69" t="s">
        <v>379</v>
      </c>
      <c r="G233" s="223" t="s">
        <v>326</v>
      </c>
      <c r="H233" s="70">
        <f>J61+J116+J171+J226</f>
        <v>0</v>
      </c>
      <c r="I233" s="70">
        <f>J40+J95+J150+J205</f>
        <v>0</v>
      </c>
      <c r="J233" s="70">
        <f>SUM(G233:I233)</f>
        <v>0</v>
      </c>
    </row>
  </sheetData>
  <sheetProtection algorithmName="SHA-512" hashValue="AVnHjecsSdPVfsnT/QlDai8j1SvQ9TGV0v1kkaHxW5vOU88kbLw9F5U8GnkMxCaFf9PuqLZx+z78S+ohZgWyRg==" saltValue="C+93vLd1QDQaGVAJquWvIA==" spinCount="100000" sheet="1" objects="1" scenarios="1"/>
  <mergeCells count="4">
    <mergeCell ref="A12:C12"/>
    <mergeCell ref="A67:C67"/>
    <mergeCell ref="A122:C122"/>
    <mergeCell ref="A177:C177"/>
  </mergeCells>
  <phoneticPr fontId="18" type="noConversion"/>
  <pageMargins left="0.75" right="0.75" top="1" bottom="1" header="0.5" footer="0.5"/>
  <pageSetup scale="63" orientation="portrait" r:id="rId1"/>
  <headerFooter alignWithMargins="0">
    <oddHeader>&amp;C&amp;"Arial,Bold"&amp;14PROCESS FLUID STABILIZATION
EVAPORATION 
COSTS&amp;R&amp;D</oddHeader>
    <oddFooter>&amp;L&amp;F&amp;C&amp;A&amp;RPage &amp;P of &amp;N</oddFooter>
  </headerFooter>
  <rowBreaks count="3" manualBreakCount="3">
    <brk id="64" max="10" man="1"/>
    <brk id="119" max="16383" man="1"/>
    <brk id="1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J71"/>
  <sheetViews>
    <sheetView zoomScaleNormal="100" workbookViewId="0">
      <selection activeCell="E3" sqref="E3"/>
    </sheetView>
  </sheetViews>
  <sheetFormatPr defaultRowHeight="12.75"/>
  <cols>
    <col min="2" max="5" width="12.7109375" customWidth="1"/>
    <col min="6" max="6" width="14.7109375" bestFit="1" customWidth="1"/>
    <col min="7" max="8" width="14.7109375" customWidth="1"/>
    <col min="9" max="9" width="15" customWidth="1"/>
    <col min="10" max="10" width="9.7109375" bestFit="1" customWidth="1"/>
  </cols>
  <sheetData>
    <row r="1" spans="1:7" ht="15.75">
      <c r="A1" s="9" t="s">
        <v>191</v>
      </c>
    </row>
    <row r="2" spans="1:7" ht="15.75">
      <c r="A2" s="9" t="s">
        <v>187</v>
      </c>
    </row>
    <row r="3" spans="1:7" ht="15.75">
      <c r="A3" s="9"/>
    </row>
    <row r="5" spans="1:7">
      <c r="A5" s="1" t="s">
        <v>425</v>
      </c>
      <c r="F5" s="2"/>
    </row>
    <row r="6" spans="1:7">
      <c r="A6" s="1"/>
      <c r="F6" s="7" t="s">
        <v>226</v>
      </c>
      <c r="G6" s="7" t="s">
        <v>227</v>
      </c>
    </row>
    <row r="7" spans="1:7">
      <c r="A7" s="1" t="s">
        <v>190</v>
      </c>
      <c r="F7" s="7" t="s">
        <v>50</v>
      </c>
      <c r="G7" s="7" t="s">
        <v>50</v>
      </c>
    </row>
    <row r="8" spans="1:7">
      <c r="A8" s="46" t="str">
        <f>"Laborer ("&amp;'D-B Labor '!C23&amp; " "&amp;'D-B Labor '!H23&amp; ", " &amp;'D-B Labor '!C30&amp; " " &amp;'D-B Labor '!H30&amp;" )"</f>
        <v>Laborer (DB LABO0169-034 Group 3, DB LABO0872-015 Group 3 )</v>
      </c>
      <c r="D8" s="2"/>
      <c r="E8" s="24"/>
      <c r="F8" s="37">
        <f>'D-B Labor '!M7</f>
        <v>61.332250000000002</v>
      </c>
      <c r="G8" s="37">
        <f>'D-B Labor '!M14</f>
        <v>83.921949999999981</v>
      </c>
    </row>
    <row r="9" spans="1:7">
      <c r="A9" t="str">
        <f>"Security Personnel ("&amp;'D-B Labor '!C24&amp;" "&amp;'D-B Labor '!H24&amp;", "&amp;'D-B Labor '!C31&amp;" "&amp;'D-B Labor '!H31&amp;")"</f>
        <v>Security Personnel (DB LABO0169-034 Group 1, DB LABO0872-015 Group 1)</v>
      </c>
      <c r="D9" s="2"/>
      <c r="E9" s="24"/>
      <c r="F9" s="37">
        <f>'D-B Labor '!M8</f>
        <v>61.028624999999998</v>
      </c>
      <c r="G9" s="37">
        <f>'D-B Labor '!M15</f>
        <v>83.54545499999999</v>
      </c>
    </row>
    <row r="10" spans="1:7">
      <c r="A10" t="str">
        <f>"Electrician/Welder ("&amp;'D-B Labor '!C25&amp;" "&amp;'D-B Labor '!H25&amp;", "&amp;'D-B Labor '!C32&amp;" "&amp;'D-B Labor '!H32&amp;")"</f>
        <v>Electrician/Welder (DB ELEC0401-010 , DB ELEC0357-010 )</v>
      </c>
      <c r="D10" s="2"/>
      <c r="E10" s="24"/>
      <c r="F10" s="37">
        <f>'D-B Labor '!M9</f>
        <v>86.885329999999982</v>
      </c>
      <c r="G10" s="37">
        <f>'D-B Labor '!M16</f>
        <v>99.431115000000005</v>
      </c>
    </row>
    <row r="11" spans="1:7">
      <c r="A11" t="s">
        <v>234</v>
      </c>
      <c r="D11" s="2"/>
      <c r="E11" s="24"/>
      <c r="F11" s="37">
        <f>'D-B Labor '!M10</f>
        <v>81.295593749999981</v>
      </c>
      <c r="G11" s="37">
        <f>'D-B Labor '!M17</f>
        <v>105.88921875</v>
      </c>
    </row>
    <row r="12" spans="1:7">
      <c r="F12" s="2"/>
    </row>
    <row r="13" spans="1:7">
      <c r="A13" s="1" t="s">
        <v>418</v>
      </c>
      <c r="E13" s="2"/>
      <c r="F13" s="7" t="s">
        <v>50</v>
      </c>
    </row>
    <row r="14" spans="1:7">
      <c r="A14" t="s">
        <v>19</v>
      </c>
      <c r="E14" s="24"/>
      <c r="F14" s="37">
        <v>185.5</v>
      </c>
    </row>
    <row r="15" spans="1:7">
      <c r="A15" t="s">
        <v>32</v>
      </c>
      <c r="E15" s="24"/>
      <c r="F15" s="37">
        <v>143.5</v>
      </c>
    </row>
    <row r="16" spans="1:7">
      <c r="A16" t="s">
        <v>33</v>
      </c>
      <c r="E16" s="24"/>
      <c r="F16" s="37">
        <v>90.5</v>
      </c>
    </row>
    <row r="17" spans="1:8">
      <c r="A17" t="s">
        <v>3</v>
      </c>
      <c r="E17" s="24"/>
      <c r="F17" s="37">
        <v>69</v>
      </c>
    </row>
    <row r="18" spans="1:8">
      <c r="F18" s="3"/>
    </row>
    <row r="19" spans="1:8">
      <c r="F19" s="35" t="s">
        <v>405</v>
      </c>
    </row>
    <row r="20" spans="1:8">
      <c r="A20" t="s">
        <v>53</v>
      </c>
      <c r="C20" s="2"/>
      <c r="E20" s="2"/>
      <c r="F20" s="38">
        <v>178</v>
      </c>
    </row>
    <row r="21" spans="1:8">
      <c r="A21" t="s">
        <v>54</v>
      </c>
      <c r="C21" s="2"/>
      <c r="E21" s="2"/>
      <c r="F21" s="38">
        <v>51</v>
      </c>
    </row>
    <row r="22" spans="1:8">
      <c r="C22" s="2"/>
      <c r="E22" s="2"/>
      <c r="F22" s="34"/>
    </row>
    <row r="23" spans="1:8">
      <c r="C23" s="2"/>
      <c r="E23" s="2"/>
      <c r="F23" s="33" t="s">
        <v>404</v>
      </c>
    </row>
    <row r="24" spans="1:8">
      <c r="A24" t="s">
        <v>48</v>
      </c>
      <c r="C24" s="2"/>
      <c r="D24" s="26"/>
      <c r="E24" s="2"/>
      <c r="F24" s="37">
        <v>0.7</v>
      </c>
    </row>
    <row r="25" spans="1:8">
      <c r="F25" s="255"/>
    </row>
    <row r="27" spans="1:8">
      <c r="A27" s="1" t="s">
        <v>52</v>
      </c>
      <c r="F27" s="7" t="s">
        <v>267</v>
      </c>
      <c r="G27" s="7" t="s">
        <v>269</v>
      </c>
      <c r="H27" s="2"/>
    </row>
    <row r="28" spans="1:8">
      <c r="A28" s="1"/>
      <c r="F28" s="7" t="s">
        <v>268</v>
      </c>
      <c r="G28" s="7" t="s">
        <v>268</v>
      </c>
      <c r="H28" s="2"/>
    </row>
    <row r="29" spans="1:8">
      <c r="A29" s="1" t="s">
        <v>424</v>
      </c>
      <c r="F29" s="7" t="s">
        <v>51</v>
      </c>
      <c r="G29" s="7" t="s">
        <v>50</v>
      </c>
      <c r="H29" s="2"/>
    </row>
    <row r="30" spans="1:8">
      <c r="A30" t="s">
        <v>10</v>
      </c>
      <c r="E30" s="2"/>
      <c r="F30" s="202">
        <v>4095</v>
      </c>
      <c r="G30" s="37">
        <v>24.041666666666664</v>
      </c>
      <c r="H30" s="208"/>
    </row>
    <row r="31" spans="1:8">
      <c r="A31" s="6" t="s">
        <v>13</v>
      </c>
      <c r="E31" s="2"/>
      <c r="F31" s="39">
        <v>1865.6</v>
      </c>
      <c r="G31" s="37">
        <v>2.65</v>
      </c>
      <c r="H31" s="208"/>
    </row>
    <row r="32" spans="1:8">
      <c r="A32" s="6" t="s">
        <v>11</v>
      </c>
      <c r="E32" s="2"/>
      <c r="F32" s="39">
        <v>5178.8</v>
      </c>
      <c r="G32" s="37">
        <v>6.8294117647058821</v>
      </c>
      <c r="H32" s="208"/>
    </row>
    <row r="33" spans="1:10">
      <c r="A33" t="s">
        <v>49</v>
      </c>
      <c r="E33" s="2"/>
      <c r="F33" s="39">
        <v>17850</v>
      </c>
      <c r="G33" s="37">
        <v>56.445357142857148</v>
      </c>
      <c r="H33" s="208"/>
    </row>
    <row r="34" spans="1:10">
      <c r="A34" s="6" t="s">
        <v>14</v>
      </c>
      <c r="E34" s="2"/>
      <c r="F34" s="39">
        <v>3506.8</v>
      </c>
      <c r="G34" s="37" t="s">
        <v>266</v>
      </c>
      <c r="H34" s="209"/>
    </row>
    <row r="35" spans="1:10">
      <c r="A35" t="s">
        <v>15</v>
      </c>
      <c r="E35" s="2"/>
      <c r="F35" s="39">
        <v>7378.8</v>
      </c>
      <c r="G35" s="37" t="s">
        <v>266</v>
      </c>
      <c r="H35" s="209"/>
    </row>
    <row r="36" spans="1:10">
      <c r="A36" t="s">
        <v>111</v>
      </c>
      <c r="E36" s="2"/>
      <c r="F36" s="39">
        <v>330</v>
      </c>
      <c r="G36" s="37" t="s">
        <v>266</v>
      </c>
      <c r="H36" s="209"/>
    </row>
    <row r="37" spans="1:10">
      <c r="A37" t="s">
        <v>112</v>
      </c>
      <c r="E37" s="2"/>
      <c r="F37" s="39">
        <v>239.4</v>
      </c>
      <c r="G37" s="37" t="s">
        <v>266</v>
      </c>
      <c r="H37" s="209"/>
    </row>
    <row r="38" spans="1:10">
      <c r="E38" s="2"/>
      <c r="F38" s="36"/>
      <c r="I38" s="2"/>
    </row>
    <row r="39" spans="1:10">
      <c r="A39" s="1" t="s">
        <v>55</v>
      </c>
      <c r="F39" s="50"/>
      <c r="G39" s="50"/>
    </row>
    <row r="40" spans="1:10">
      <c r="A40" s="1"/>
      <c r="F40" s="50"/>
      <c r="G40" s="50"/>
    </row>
    <row r="41" spans="1:10">
      <c r="A41" s="1" t="s">
        <v>88</v>
      </c>
      <c r="F41" s="288" t="s">
        <v>87</v>
      </c>
      <c r="G41" s="289"/>
      <c r="H41" s="289"/>
      <c r="I41" s="290"/>
      <c r="J41" s="2"/>
    </row>
    <row r="42" spans="1:10">
      <c r="A42" s="6" t="s">
        <v>76</v>
      </c>
      <c r="F42" s="229" t="s">
        <v>72</v>
      </c>
      <c r="G42" s="230" t="s">
        <v>74</v>
      </c>
      <c r="H42" s="230" t="s">
        <v>75</v>
      </c>
      <c r="I42" s="230" t="s">
        <v>384</v>
      </c>
      <c r="J42" s="133"/>
    </row>
    <row r="43" spans="1:10">
      <c r="A43" s="6" t="s">
        <v>196</v>
      </c>
      <c r="F43" s="102">
        <v>4000</v>
      </c>
      <c r="G43" s="102">
        <v>2090</v>
      </c>
      <c r="H43" s="102">
        <v>620</v>
      </c>
      <c r="I43" s="102">
        <v>410</v>
      </c>
      <c r="J43" s="50"/>
    </row>
    <row r="44" spans="1:10">
      <c r="A44" s="6" t="s">
        <v>197</v>
      </c>
      <c r="F44" s="102">
        <v>260</v>
      </c>
      <c r="G44" s="102">
        <v>260</v>
      </c>
      <c r="H44" s="102">
        <v>340</v>
      </c>
      <c r="I44" s="102">
        <v>320</v>
      </c>
      <c r="J44" s="50"/>
    </row>
    <row r="45" spans="1:10">
      <c r="A45" s="6" t="s">
        <v>194</v>
      </c>
      <c r="F45" s="102">
        <v>1900</v>
      </c>
      <c r="G45" s="102">
        <v>2000</v>
      </c>
      <c r="H45" s="102">
        <v>2200</v>
      </c>
      <c r="I45" s="102">
        <v>2200</v>
      </c>
      <c r="J45" s="50"/>
    </row>
    <row r="46" spans="1:10">
      <c r="A46" s="6" t="s">
        <v>279</v>
      </c>
      <c r="F46" s="231">
        <v>6386</v>
      </c>
      <c r="G46" s="231">
        <v>9971</v>
      </c>
      <c r="H46" s="231">
        <v>4997</v>
      </c>
      <c r="I46" s="231">
        <v>4209</v>
      </c>
      <c r="J46" s="135"/>
    </row>
    <row r="47" spans="1:10" hidden="1">
      <c r="A47" s="6" t="s">
        <v>89</v>
      </c>
      <c r="F47" s="51"/>
      <c r="G47" s="51"/>
      <c r="H47" s="51"/>
      <c r="I47" s="51"/>
      <c r="J47" s="135"/>
    </row>
    <row r="48" spans="1:10" hidden="1">
      <c r="A48" s="6" t="s">
        <v>263</v>
      </c>
      <c r="F48" s="52"/>
      <c r="G48" s="52"/>
      <c r="H48" s="52"/>
      <c r="I48" s="52"/>
      <c r="J48" s="136"/>
    </row>
    <row r="49" spans="1:9" hidden="1">
      <c r="A49" s="6" t="s">
        <v>284</v>
      </c>
      <c r="F49" s="51">
        <f>SUM(F46:F48)</f>
        <v>6386</v>
      </c>
      <c r="G49" s="51">
        <f>SUM(G46:G48)</f>
        <v>9971</v>
      </c>
      <c r="H49" s="51">
        <f>SUM(H46:H48)</f>
        <v>4997</v>
      </c>
      <c r="I49" s="51">
        <f>SUM(I46:I48)</f>
        <v>4209</v>
      </c>
    </row>
    <row r="50" spans="1:9">
      <c r="A50" s="1"/>
      <c r="F50" s="2"/>
    </row>
    <row r="51" spans="1:9" hidden="1">
      <c r="A51" s="1"/>
      <c r="F51" s="7" t="s">
        <v>70</v>
      </c>
    </row>
    <row r="52" spans="1:9" hidden="1">
      <c r="A52" t="s">
        <v>69</v>
      </c>
      <c r="F52" s="38">
        <v>2.36</v>
      </c>
    </row>
    <row r="53" spans="1:9">
      <c r="A53" s="1"/>
      <c r="F53" s="25"/>
    </row>
    <row r="54" spans="1:9">
      <c r="A54" s="1"/>
      <c r="F54" s="7" t="s">
        <v>201</v>
      </c>
    </row>
    <row r="55" spans="1:9">
      <c r="A55" t="s">
        <v>202</v>
      </c>
      <c r="F55" s="104">
        <v>0.1027</v>
      </c>
    </row>
    <row r="56" spans="1:9">
      <c r="A56" s="1"/>
      <c r="F56" s="25"/>
      <c r="G56" s="2"/>
    </row>
    <row r="57" spans="1:9">
      <c r="A57" s="1" t="s">
        <v>307</v>
      </c>
      <c r="F57" s="7" t="s">
        <v>12</v>
      </c>
      <c r="G57" s="2"/>
    </row>
    <row r="58" spans="1:9">
      <c r="A58" s="46" t="s">
        <v>419</v>
      </c>
      <c r="F58" s="105">
        <v>196300</v>
      </c>
      <c r="G58" s="212"/>
    </row>
    <row r="59" spans="1:9">
      <c r="A59" s="46" t="s">
        <v>383</v>
      </c>
      <c r="F59" s="105">
        <v>76429</v>
      </c>
      <c r="G59" s="212"/>
    </row>
    <row r="60" spans="1:9">
      <c r="A60" s="6"/>
      <c r="F60" s="212"/>
    </row>
    <row r="62" spans="1:9">
      <c r="A62" s="6"/>
      <c r="F62" s="7" t="s">
        <v>12</v>
      </c>
    </row>
    <row r="63" spans="1:9">
      <c r="A63" s="6" t="s">
        <v>119</v>
      </c>
      <c r="D63" s="2"/>
      <c r="F63" s="38">
        <v>647</v>
      </c>
    </row>
    <row r="64" spans="1:9">
      <c r="A64" s="6" t="s">
        <v>56</v>
      </c>
      <c r="D64" s="2"/>
      <c r="F64" s="38">
        <v>736</v>
      </c>
    </row>
    <row r="66" spans="1:1">
      <c r="A66" s="6"/>
    </row>
    <row r="67" spans="1:1">
      <c r="A67" s="46" t="s">
        <v>427</v>
      </c>
    </row>
    <row r="68" spans="1:1">
      <c r="A68" s="46" t="s">
        <v>428</v>
      </c>
    </row>
    <row r="69" spans="1:1">
      <c r="A69" s="46" t="s">
        <v>429</v>
      </c>
    </row>
    <row r="71" spans="1:1">
      <c r="A71" s="6"/>
    </row>
  </sheetData>
  <sheetProtection algorithmName="SHA-512" hashValue="2t5X2jL8m9UYBzUd4R1psSgE3Q9XyThYPCzWhc7lL0n/Fbp8sCTGHnDP8V+kziAd1Vqmsk0LGYfHfRxVrDLsWg==" saltValue="b3DZRGimfjO+KTvIUEECEg==" spinCount="100000" sheet="1" objects="1" scenarios="1"/>
  <mergeCells count="1">
    <mergeCell ref="F41:I41"/>
  </mergeCells>
  <phoneticPr fontId="2" type="noConversion"/>
  <pageMargins left="0.7" right="0.7" top="0.75" bottom="0.75" header="0.3" footer="0.3"/>
  <pageSetup scale="75" orientation="portrait" r:id="rId1"/>
  <headerFooter>
    <oddHeader>&amp;C&amp;"Arial,Bold"&amp;16UNIT COSTS&amp;R&amp;D</oddHeader>
    <oddFooter>&amp;L&amp;F&amp;C&amp;A&amp;RPage &amp;P of &amp;N</oddFooter>
  </headerFooter>
  <rowBreaks count="1" manualBreakCount="1">
    <brk id="7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2:M37"/>
  <sheetViews>
    <sheetView zoomScaleNormal="100" workbookViewId="0">
      <selection activeCell="C33" sqref="C33:K33"/>
    </sheetView>
  </sheetViews>
  <sheetFormatPr defaultColWidth="9.140625" defaultRowHeight="12.75"/>
  <cols>
    <col min="3" max="3" width="15.7109375" customWidth="1"/>
    <col min="4" max="4" width="5.42578125" customWidth="1"/>
    <col min="11" max="11" width="9.140625" customWidth="1"/>
    <col min="12" max="12" width="6.85546875" customWidth="1"/>
    <col min="13" max="13" width="9.7109375" customWidth="1"/>
  </cols>
  <sheetData>
    <row r="2" spans="1:13" ht="14.25" customHeight="1">
      <c r="A2" s="240"/>
      <c r="B2" s="241"/>
      <c r="C2" s="241"/>
      <c r="D2" s="242"/>
      <c r="E2" s="242"/>
      <c r="G2" s="7" t="s">
        <v>231</v>
      </c>
      <c r="H2" s="7" t="s">
        <v>232</v>
      </c>
      <c r="I2" s="7" t="s">
        <v>233</v>
      </c>
    </row>
    <row r="3" spans="1:13">
      <c r="G3" s="254">
        <v>7.6499999999999999E-2</v>
      </c>
      <c r="H3" s="254">
        <v>0.03</v>
      </c>
      <c r="I3" s="254">
        <v>0.108</v>
      </c>
    </row>
    <row r="5" spans="1:13">
      <c r="A5" s="1" t="s">
        <v>226</v>
      </c>
      <c r="B5" s="46"/>
      <c r="C5" s="46"/>
      <c r="D5" s="46"/>
      <c r="E5" s="46"/>
      <c r="H5" s="291" t="s">
        <v>399</v>
      </c>
      <c r="I5" s="291" t="s">
        <v>400</v>
      </c>
      <c r="J5" s="2"/>
    </row>
    <row r="6" spans="1:13">
      <c r="A6" s="293"/>
      <c r="B6" s="293"/>
      <c r="C6" s="293"/>
      <c r="D6" s="293"/>
      <c r="E6" s="294"/>
      <c r="F6" s="7" t="s">
        <v>229</v>
      </c>
      <c r="G6" s="7" t="s">
        <v>230</v>
      </c>
      <c r="H6" s="292"/>
      <c r="I6" s="292"/>
      <c r="J6" s="7" t="s">
        <v>231</v>
      </c>
      <c r="K6" s="7" t="s">
        <v>232</v>
      </c>
      <c r="L6" s="7" t="s">
        <v>233</v>
      </c>
      <c r="M6" s="7" t="s">
        <v>6</v>
      </c>
    </row>
    <row r="7" spans="1:13">
      <c r="A7" s="293" t="s">
        <v>396</v>
      </c>
      <c r="B7" s="293"/>
      <c r="C7" s="293"/>
      <c r="D7" s="293"/>
      <c r="E7" s="294"/>
      <c r="F7" s="232">
        <v>34.200000000000003</v>
      </c>
      <c r="G7" s="232">
        <v>16.3</v>
      </c>
      <c r="H7" s="232">
        <f>F7+G7</f>
        <v>50.5</v>
      </c>
      <c r="I7" s="232">
        <f>H7+L23</f>
        <v>50.5</v>
      </c>
      <c r="J7" s="233">
        <f>I7*$G$3</f>
        <v>3.8632499999999999</v>
      </c>
      <c r="K7" s="232">
        <f>I7*$H$3</f>
        <v>1.5149999999999999</v>
      </c>
      <c r="L7" s="232">
        <f>I7*$I$3</f>
        <v>5.4539999999999997</v>
      </c>
      <c r="M7" s="232">
        <f>SUM(I7:L7)</f>
        <v>61.332250000000002</v>
      </c>
    </row>
    <row r="8" spans="1:13">
      <c r="A8" s="293" t="s">
        <v>199</v>
      </c>
      <c r="B8" s="293"/>
      <c r="C8" s="293"/>
      <c r="D8" s="293"/>
      <c r="E8" s="294"/>
      <c r="F8" s="232">
        <v>33.950000000000003</v>
      </c>
      <c r="G8" s="232">
        <v>16.3</v>
      </c>
      <c r="H8" s="232">
        <f>F8+G8</f>
        <v>50.25</v>
      </c>
      <c r="I8" s="232">
        <f>H8+L24</f>
        <v>50.25</v>
      </c>
      <c r="J8" s="232">
        <f>I8*$G$3</f>
        <v>3.844125</v>
      </c>
      <c r="K8" s="232">
        <f>I8*$H$3</f>
        <v>1.5074999999999998</v>
      </c>
      <c r="L8" s="232">
        <f>I8*$I$3</f>
        <v>5.4269999999999996</v>
      </c>
      <c r="M8" s="232">
        <f>SUM(I8:L8)</f>
        <v>61.028624999999998</v>
      </c>
    </row>
    <row r="9" spans="1:13">
      <c r="A9" s="293" t="s">
        <v>397</v>
      </c>
      <c r="B9" s="293"/>
      <c r="C9" s="293"/>
      <c r="D9" s="293"/>
      <c r="E9" s="294"/>
      <c r="F9" s="232">
        <v>48.5</v>
      </c>
      <c r="G9" s="232">
        <v>23.04</v>
      </c>
      <c r="H9" s="232">
        <f>F9+G9</f>
        <v>71.539999999999992</v>
      </c>
      <c r="I9" s="232">
        <f>H9+L25</f>
        <v>71.539999999999992</v>
      </c>
      <c r="J9" s="232">
        <f>I9*$G$3</f>
        <v>5.4728099999999991</v>
      </c>
      <c r="K9" s="232">
        <f>I9*$H$3</f>
        <v>2.1461999999999999</v>
      </c>
      <c r="L9" s="232">
        <f>I9*$I$3</f>
        <v>7.7263199999999994</v>
      </c>
      <c r="M9" s="232">
        <f>SUM(I9:L9)</f>
        <v>86.885329999999982</v>
      </c>
    </row>
    <row r="10" spans="1:13">
      <c r="A10" s="293" t="s">
        <v>234</v>
      </c>
      <c r="B10" s="293"/>
      <c r="C10" s="293"/>
      <c r="D10" s="293"/>
      <c r="E10" s="294"/>
      <c r="F10" s="232">
        <v>66.9375</v>
      </c>
      <c r="G10" s="232">
        <v>0</v>
      </c>
      <c r="H10" s="232">
        <f>F10+G10</f>
        <v>66.9375</v>
      </c>
      <c r="I10" s="232">
        <f>H10+L26</f>
        <v>66.9375</v>
      </c>
      <c r="J10" s="232">
        <f>I10*$G$3</f>
        <v>5.12071875</v>
      </c>
      <c r="K10" s="232">
        <f>I10*$H$3</f>
        <v>2.0081249999999997</v>
      </c>
      <c r="L10" s="232">
        <f>I10*$I$3</f>
        <v>7.2292499999999995</v>
      </c>
      <c r="M10" s="232">
        <f>SUM(I10:L10)</f>
        <v>81.295593749999981</v>
      </c>
    </row>
    <row r="12" spans="1:13">
      <c r="H12" s="291" t="s">
        <v>399</v>
      </c>
      <c r="I12" s="291" t="s">
        <v>400</v>
      </c>
      <c r="J12" s="2"/>
    </row>
    <row r="13" spans="1:13">
      <c r="A13" s="1" t="s">
        <v>227</v>
      </c>
      <c r="B13" s="1"/>
      <c r="C13" s="1"/>
      <c r="D13" s="1"/>
      <c r="E13" s="1"/>
      <c r="F13" s="7" t="s">
        <v>229</v>
      </c>
      <c r="G13" s="7" t="s">
        <v>230</v>
      </c>
      <c r="H13" s="292"/>
      <c r="I13" s="292"/>
      <c r="J13" s="7" t="s">
        <v>231</v>
      </c>
      <c r="K13" s="7" t="s">
        <v>232</v>
      </c>
      <c r="L13" s="7" t="s">
        <v>233</v>
      </c>
      <c r="M13" s="7" t="s">
        <v>6</v>
      </c>
    </row>
    <row r="14" spans="1:13">
      <c r="A14" s="293" t="s">
        <v>396</v>
      </c>
      <c r="B14" s="293"/>
      <c r="C14" s="293"/>
      <c r="D14" s="293"/>
      <c r="E14" s="293"/>
      <c r="F14" s="232">
        <v>36.340000000000003</v>
      </c>
      <c r="G14" s="232">
        <v>32.76</v>
      </c>
      <c r="H14" s="232">
        <f>F14+G14</f>
        <v>69.099999999999994</v>
      </c>
      <c r="I14" s="232">
        <f>H14+L30</f>
        <v>69.099999999999994</v>
      </c>
      <c r="J14" s="232">
        <f>I14*$G$3</f>
        <v>5.2861499999999992</v>
      </c>
      <c r="K14" s="232">
        <f>I14*$H$3</f>
        <v>2.073</v>
      </c>
      <c r="L14" s="232">
        <f>I14*$I$3</f>
        <v>7.4627999999999997</v>
      </c>
      <c r="M14" s="232">
        <f>SUM(I14:L14)</f>
        <v>83.921949999999981</v>
      </c>
    </row>
    <row r="15" spans="1:13">
      <c r="A15" s="293" t="s">
        <v>199</v>
      </c>
      <c r="B15" s="293"/>
      <c r="C15" s="293"/>
      <c r="D15" s="293"/>
      <c r="E15" s="293"/>
      <c r="F15" s="232">
        <v>36.03</v>
      </c>
      <c r="G15" s="232">
        <v>32.76</v>
      </c>
      <c r="H15" s="232">
        <f>F15+G15</f>
        <v>68.789999999999992</v>
      </c>
      <c r="I15" s="232">
        <f>H15+L31</f>
        <v>68.789999999999992</v>
      </c>
      <c r="J15" s="232">
        <f>I15*$G$3</f>
        <v>5.2624349999999991</v>
      </c>
      <c r="K15" s="232">
        <f>I15*$H$3</f>
        <v>2.0636999999999999</v>
      </c>
      <c r="L15" s="232">
        <f>I15*$I$3</f>
        <v>7.4293199999999988</v>
      </c>
      <c r="M15" s="232">
        <f>SUM(I15:L15)</f>
        <v>83.54545499999999</v>
      </c>
    </row>
    <row r="16" spans="1:13">
      <c r="A16" s="293" t="s">
        <v>397</v>
      </c>
      <c r="B16" s="293"/>
      <c r="C16" s="293"/>
      <c r="D16" s="293"/>
      <c r="E16" s="293"/>
      <c r="F16" s="232">
        <v>57.48</v>
      </c>
      <c r="G16" s="232">
        <v>24.39</v>
      </c>
      <c r="H16" s="232">
        <f>F16+G16</f>
        <v>81.87</v>
      </c>
      <c r="I16" s="232">
        <f>H16+L32</f>
        <v>81.87</v>
      </c>
      <c r="J16" s="232">
        <f>I16*$G$3</f>
        <v>6.2630550000000005</v>
      </c>
      <c r="K16" s="232">
        <f>I16*$H$3</f>
        <v>2.4561000000000002</v>
      </c>
      <c r="L16" s="232">
        <f>I16*$I$3</f>
        <v>8.8419600000000003</v>
      </c>
      <c r="M16" s="232">
        <f>SUM(I16:L16)</f>
        <v>99.431115000000005</v>
      </c>
    </row>
    <row r="17" spans="1:13">
      <c r="A17" s="293" t="s">
        <v>234</v>
      </c>
      <c r="B17" s="293"/>
      <c r="C17" s="293"/>
      <c r="D17" s="293"/>
      <c r="E17" s="293"/>
      <c r="F17" s="232">
        <v>87.1875</v>
      </c>
      <c r="G17" s="232">
        <v>0</v>
      </c>
      <c r="H17" s="232">
        <f>F17+G17</f>
        <v>87.1875</v>
      </c>
      <c r="I17" s="232">
        <f>H17+L33</f>
        <v>87.1875</v>
      </c>
      <c r="J17" s="232">
        <f>I17*$G$3</f>
        <v>6.6698437500000001</v>
      </c>
      <c r="K17" s="232">
        <f>I17*$H$3</f>
        <v>2.6156250000000001</v>
      </c>
      <c r="L17" s="232">
        <f>I17*$I$3</f>
        <v>9.4162499999999998</v>
      </c>
      <c r="M17" s="232">
        <f>SUM(I17:L17)</f>
        <v>105.88921875</v>
      </c>
    </row>
    <row r="19" spans="1:13" ht="12.75" customHeight="1">
      <c r="A19" t="s">
        <v>59</v>
      </c>
    </row>
    <row r="20" spans="1:13" ht="12.75" customHeight="1">
      <c r="A20" s="46" t="s">
        <v>398</v>
      </c>
    </row>
    <row r="21" spans="1:13">
      <c r="A21" s="300" t="s">
        <v>226</v>
      </c>
      <c r="B21" s="300"/>
      <c r="C21" s="300"/>
      <c r="D21" s="300"/>
      <c r="E21" s="300"/>
      <c r="F21" s="300"/>
      <c r="G21" s="300"/>
      <c r="H21" s="300"/>
      <c r="I21" s="300"/>
      <c r="J21" s="300"/>
      <c r="K21" s="300"/>
    </row>
    <row r="22" spans="1:13">
      <c r="A22" s="298" t="s">
        <v>390</v>
      </c>
      <c r="B22" s="298"/>
      <c r="C22" s="277" t="s">
        <v>393</v>
      </c>
      <c r="D22" s="276"/>
      <c r="E22" s="276"/>
      <c r="F22" s="276"/>
      <c r="G22" s="278"/>
      <c r="H22" s="7" t="s">
        <v>392</v>
      </c>
      <c r="I22" s="277" t="s">
        <v>391</v>
      </c>
      <c r="J22" s="276"/>
      <c r="K22" s="276"/>
      <c r="L22" s="296" t="s">
        <v>395</v>
      </c>
      <c r="M22" s="299"/>
    </row>
    <row r="23" spans="1:13">
      <c r="A23" s="295" t="s">
        <v>41</v>
      </c>
      <c r="B23" s="295"/>
      <c r="C23" s="296" t="s">
        <v>408</v>
      </c>
      <c r="D23" s="297"/>
      <c r="E23" s="239">
        <v>45566</v>
      </c>
      <c r="F23" s="238" t="s">
        <v>403</v>
      </c>
      <c r="G23" s="145"/>
      <c r="H23" s="234" t="s">
        <v>430</v>
      </c>
      <c r="I23" s="295" t="s">
        <v>388</v>
      </c>
      <c r="J23" s="295"/>
      <c r="K23" s="301"/>
      <c r="L23" s="235"/>
      <c r="M23" s="236"/>
    </row>
    <row r="24" spans="1:13">
      <c r="A24" s="295" t="s">
        <v>385</v>
      </c>
      <c r="B24" s="295"/>
      <c r="C24" s="296" t="s">
        <v>408</v>
      </c>
      <c r="D24" s="297"/>
      <c r="E24" s="239">
        <v>45566</v>
      </c>
      <c r="F24" s="238" t="s">
        <v>403</v>
      </c>
      <c r="G24" s="236"/>
      <c r="H24" s="234" t="s">
        <v>431</v>
      </c>
      <c r="I24" s="295" t="s">
        <v>387</v>
      </c>
      <c r="J24" s="295"/>
      <c r="K24" s="301"/>
      <c r="L24" s="235"/>
      <c r="M24" s="236"/>
    </row>
    <row r="25" spans="1:13">
      <c r="A25" s="295" t="s">
        <v>2</v>
      </c>
      <c r="B25" s="295"/>
      <c r="C25" s="296" t="s">
        <v>409</v>
      </c>
      <c r="D25" s="297"/>
      <c r="E25" s="239">
        <v>45658</v>
      </c>
      <c r="F25" s="238" t="s">
        <v>403</v>
      </c>
      <c r="G25" s="236"/>
      <c r="H25" s="234"/>
      <c r="I25" s="295" t="s">
        <v>389</v>
      </c>
      <c r="J25" s="295"/>
      <c r="K25" s="301"/>
      <c r="L25" s="235"/>
      <c r="M25" s="236"/>
    </row>
    <row r="26" spans="1:13">
      <c r="A26" s="295" t="s">
        <v>386</v>
      </c>
      <c r="B26" s="295"/>
      <c r="C26" s="295" t="s">
        <v>432</v>
      </c>
      <c r="D26" s="295"/>
      <c r="E26" s="295"/>
      <c r="F26" s="295"/>
      <c r="G26" s="295"/>
      <c r="H26" s="295"/>
      <c r="I26" s="295"/>
      <c r="J26" s="295"/>
      <c r="K26" s="301"/>
      <c r="L26" s="235"/>
      <c r="M26" s="236"/>
    </row>
    <row r="28" spans="1:13">
      <c r="A28" s="300" t="s">
        <v>227</v>
      </c>
      <c r="B28" s="300"/>
      <c r="C28" s="300"/>
      <c r="D28" s="300"/>
      <c r="E28" s="300"/>
      <c r="F28" s="300"/>
      <c r="G28" s="300"/>
      <c r="H28" s="300"/>
      <c r="I28" s="300"/>
      <c r="J28" s="300"/>
      <c r="K28" s="300"/>
    </row>
    <row r="29" spans="1:13">
      <c r="A29" s="298" t="s">
        <v>390</v>
      </c>
      <c r="B29" s="298"/>
      <c r="C29" s="277" t="s">
        <v>393</v>
      </c>
      <c r="D29" s="276"/>
      <c r="E29" s="276"/>
      <c r="F29" s="276"/>
      <c r="G29" s="278"/>
      <c r="H29" s="7" t="s">
        <v>392</v>
      </c>
      <c r="I29" s="298" t="s">
        <v>391</v>
      </c>
      <c r="J29" s="298"/>
      <c r="K29" s="298"/>
      <c r="L29" s="296" t="s">
        <v>395</v>
      </c>
      <c r="M29" s="299"/>
    </row>
    <row r="30" spans="1:13">
      <c r="A30" s="295" t="s">
        <v>41</v>
      </c>
      <c r="B30" s="295"/>
      <c r="C30" s="296" t="s">
        <v>410</v>
      </c>
      <c r="D30" s="297"/>
      <c r="E30" s="239">
        <v>45474</v>
      </c>
      <c r="F30" s="238" t="s">
        <v>401</v>
      </c>
      <c r="G30" s="238"/>
      <c r="H30" s="234" t="s">
        <v>430</v>
      </c>
      <c r="I30" s="295" t="s">
        <v>388</v>
      </c>
      <c r="J30" s="295"/>
      <c r="K30" s="295"/>
      <c r="L30" s="235"/>
      <c r="M30" s="236"/>
    </row>
    <row r="31" spans="1:13">
      <c r="A31" s="295" t="s">
        <v>385</v>
      </c>
      <c r="B31" s="295"/>
      <c r="C31" s="296" t="s">
        <v>410</v>
      </c>
      <c r="D31" s="297"/>
      <c r="E31" s="239">
        <v>45474</v>
      </c>
      <c r="F31" s="238" t="s">
        <v>401</v>
      </c>
      <c r="G31" s="238"/>
      <c r="H31" s="234" t="s">
        <v>431</v>
      </c>
      <c r="I31" s="295" t="s">
        <v>394</v>
      </c>
      <c r="J31" s="295"/>
      <c r="K31" s="295"/>
      <c r="L31" s="235"/>
      <c r="M31" s="236"/>
    </row>
    <row r="32" spans="1:13">
      <c r="A32" s="295" t="s">
        <v>2</v>
      </c>
      <c r="B32" s="295"/>
      <c r="C32" s="296" t="s">
        <v>420</v>
      </c>
      <c r="D32" s="297"/>
      <c r="E32" s="239">
        <v>45444</v>
      </c>
      <c r="F32" s="238" t="s">
        <v>402</v>
      </c>
      <c r="G32" s="238"/>
      <c r="H32" s="234"/>
      <c r="I32" s="295" t="s">
        <v>389</v>
      </c>
      <c r="J32" s="295"/>
      <c r="K32" s="295"/>
      <c r="L32" s="237"/>
      <c r="M32" s="236"/>
    </row>
    <row r="33" spans="1:13">
      <c r="A33" s="295" t="s">
        <v>386</v>
      </c>
      <c r="B33" s="295"/>
      <c r="C33" s="295" t="s">
        <v>433</v>
      </c>
      <c r="D33" s="295"/>
      <c r="E33" s="295"/>
      <c r="F33" s="295"/>
      <c r="G33" s="295"/>
      <c r="H33" s="295"/>
      <c r="I33" s="295"/>
      <c r="J33" s="295"/>
      <c r="K33" s="295"/>
      <c r="L33" s="235"/>
      <c r="M33" s="236"/>
    </row>
    <row r="36" spans="1:13" ht="12.75" customHeight="1">
      <c r="A36" s="46"/>
    </row>
    <row r="37" spans="1:13" ht="12.75" customHeight="1">
      <c r="A37" s="46"/>
    </row>
  </sheetData>
  <sheetProtection algorithmName="SHA-512" hashValue="f6+MDvXx5fjn+gyynzvEobX7G60cGgBySYpXNRDnBdXyJnPFYH23oqs6eUI/LZHPDAX2S9yEKFBGmrQq4xFDTg==" saltValue="rSngwNwx+feUVQ+RD4PwUg==" spinCount="100000" sheet="1" objects="1" scenarios="1"/>
  <mergeCells count="45">
    <mergeCell ref="A21:K21"/>
    <mergeCell ref="C22:G22"/>
    <mergeCell ref="I22:K22"/>
    <mergeCell ref="A24:B24"/>
    <mergeCell ref="A22:B22"/>
    <mergeCell ref="L29:M29"/>
    <mergeCell ref="L22:M22"/>
    <mergeCell ref="C31:D31"/>
    <mergeCell ref="A33:B33"/>
    <mergeCell ref="A28:K28"/>
    <mergeCell ref="I23:K23"/>
    <mergeCell ref="I24:K24"/>
    <mergeCell ref="I25:K25"/>
    <mergeCell ref="C26:K26"/>
    <mergeCell ref="I29:K29"/>
    <mergeCell ref="I30:K30"/>
    <mergeCell ref="I31:K31"/>
    <mergeCell ref="I32:K32"/>
    <mergeCell ref="C33:K33"/>
    <mergeCell ref="C29:G29"/>
    <mergeCell ref="C32:D32"/>
    <mergeCell ref="A31:B31"/>
    <mergeCell ref="A32:B32"/>
    <mergeCell ref="A25:B25"/>
    <mergeCell ref="A23:B23"/>
    <mergeCell ref="A6:E6"/>
    <mergeCell ref="C30:D30"/>
    <mergeCell ref="A14:E14"/>
    <mergeCell ref="A15:E15"/>
    <mergeCell ref="A16:E16"/>
    <mergeCell ref="A17:E17"/>
    <mergeCell ref="A29:B29"/>
    <mergeCell ref="C23:D23"/>
    <mergeCell ref="C24:D24"/>
    <mergeCell ref="C25:D25"/>
    <mergeCell ref="A30:B30"/>
    <mergeCell ref="A26:B26"/>
    <mergeCell ref="H5:H6"/>
    <mergeCell ref="I5:I6"/>
    <mergeCell ref="H12:H13"/>
    <mergeCell ref="I12:I13"/>
    <mergeCell ref="A7:E7"/>
    <mergeCell ref="A8:E8"/>
    <mergeCell ref="A9:E9"/>
    <mergeCell ref="A10:E10"/>
  </mergeCells>
  <phoneticPr fontId="18" type="noConversion"/>
  <pageMargins left="0.75" right="0.75" top="1" bottom="1" header="0.5" footer="0.5"/>
  <pageSetup orientation="landscape" r:id="rId1"/>
  <headerFooter alignWithMargins="0">
    <oddHeader>&amp;CDAVIS-BACON LABOR &amp;R&amp;D</oddHeader>
    <oddFooter>&amp;L&amp;F&amp;C&amp;A&amp;RPage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Cost Summary</vt:lpstr>
      <vt:lpstr>User Inputs</vt:lpstr>
      <vt:lpstr>IFM </vt:lpstr>
      <vt:lpstr>Phase I</vt:lpstr>
      <vt:lpstr>Phase II</vt:lpstr>
      <vt:lpstr>Phase III</vt:lpstr>
      <vt:lpstr>Evaporation</vt:lpstr>
      <vt:lpstr>Unit Costs</vt:lpstr>
      <vt:lpstr>D-B Labor </vt:lpstr>
      <vt:lpstr>'Cost Summary'!Print_Area</vt:lpstr>
      <vt:lpstr>'D-B Labor '!Print_Area</vt:lpstr>
      <vt:lpstr>Evaporation!Print_Area</vt:lpstr>
      <vt:lpstr>'Phase I'!Print_Area</vt:lpstr>
      <vt:lpstr>'Phase II'!Print_Area</vt:lpstr>
      <vt:lpstr>'Phase III'!Print_Area</vt:lpstr>
      <vt:lpstr>'Unit Costs'!Print_Area</vt:lpstr>
      <vt:lpstr>'User Inputs'!Print_Area</vt:lpstr>
    </vt:vector>
  </TitlesOfParts>
  <Company>NDEP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DSIPLE</dc:creator>
  <cp:lastModifiedBy>Depaoli, Kenneth R</cp:lastModifiedBy>
  <cp:lastPrinted>2021-07-30T17:55:20Z</cp:lastPrinted>
  <dcterms:created xsi:type="dcterms:W3CDTF">2009-02-20T18:34:18Z</dcterms:created>
  <dcterms:modified xsi:type="dcterms:W3CDTF">2025-07-30T18:14:46Z</dcterms:modified>
</cp:coreProperties>
</file>