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tkinson\Downloads\"/>
    </mc:Choice>
  </mc:AlternateContent>
  <xr:revisionPtr revIDLastSave="0" documentId="13_ncr:1_{2DD01EA2-9B40-4BCC-A953-B5DE455CDA3B}" xr6:coauthVersionLast="47" xr6:coauthVersionMax="47" xr10:uidLastSave="{00000000-0000-0000-0000-000000000000}"/>
  <bookViews>
    <workbookView xWindow="-120" yWindow="-120" windowWidth="29040" windowHeight="15840" tabRatio="678" xr2:uid="{00000000-000D-0000-FFFF-FFFF00000000}"/>
  </bookViews>
  <sheets>
    <sheet name="Mob Demob" sheetId="1" r:id="rId1"/>
    <sheet name="AssemblyDisassembly" sheetId="2" r:id="rId2"/>
    <sheet name="Pilot Car" sheetId="3" r:id="rId3"/>
    <sheet name="SRCE Eqipment" sheetId="4" r:id="rId4"/>
    <sheet name="RSM Equipment" sheetId="5" r:id="rId5"/>
    <sheet name="Davis-Bacon Wages" sheetId="6" r:id="rId6"/>
  </sheets>
  <definedNames>
    <definedName name="_xlnm.Print_Area" localSheetId="1">AssemblyDisassembly!$A$1:$D$65</definedName>
    <definedName name="_xlnm.Print_Area" localSheetId="5">'Davis-Bacon Wages'!$A$1:$K$64</definedName>
    <definedName name="_xlnm.Print_Area" localSheetId="0">'Mob Demob'!$A$1:$J$79</definedName>
    <definedName name="_xlnm.Print_Area" localSheetId="4">'RSM Equipment'!$A$4:$E$62</definedName>
    <definedName name="_xlnm.Print_Area" localSheetId="3">'SRCE Eqipment'!$A$1:$C$62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C54" i="4"/>
  <c r="C53" i="4"/>
  <c r="C52" i="4"/>
  <c r="C29" i="4"/>
  <c r="C15" i="4"/>
  <c r="C23" i="4"/>
  <c r="D62" i="5" l="1"/>
  <c r="E62" i="5" s="1"/>
  <c r="D60" i="5"/>
  <c r="E60" i="5" s="1"/>
  <c r="E59" i="5"/>
  <c r="D58" i="5"/>
  <c r="E58" i="5" s="1"/>
  <c r="E56" i="5"/>
  <c r="D55" i="5"/>
  <c r="E55" i="5" s="1"/>
  <c r="D54" i="5"/>
  <c r="E54" i="5" s="1"/>
  <c r="D53" i="5"/>
  <c r="E53" i="5" s="1"/>
  <c r="D52" i="5"/>
  <c r="E52" i="5" s="1"/>
  <c r="D51" i="5"/>
  <c r="E51" i="5" s="1"/>
  <c r="D50" i="5"/>
  <c r="E50" i="5" s="1"/>
  <c r="E48" i="5"/>
  <c r="E47" i="5"/>
  <c r="D46" i="5"/>
  <c r="E46" i="5" s="1"/>
  <c r="D45" i="5"/>
  <c r="E45" i="5" s="1"/>
  <c r="D44" i="5"/>
  <c r="E44" i="5" s="1"/>
  <c r="D43" i="5"/>
  <c r="E43" i="5" s="1"/>
  <c r="E42" i="5"/>
  <c r="E41" i="5"/>
  <c r="D40" i="5"/>
  <c r="E40" i="5" s="1"/>
  <c r="E39" i="5"/>
  <c r="E38" i="5"/>
  <c r="E37" i="5"/>
  <c r="D36" i="5"/>
  <c r="E36" i="5" s="1"/>
  <c r="D35" i="5"/>
  <c r="E35" i="5" s="1"/>
  <c r="D29" i="5"/>
  <c r="E29" i="5" s="1"/>
  <c r="D26" i="5"/>
  <c r="E26" i="5" s="1"/>
  <c r="D25" i="5"/>
  <c r="E25" i="5" s="1"/>
  <c r="D23" i="5"/>
  <c r="E23" i="5" s="1"/>
  <c r="D22" i="5"/>
  <c r="E22" i="5" s="1"/>
  <c r="D20" i="5"/>
  <c r="E20" i="5" s="1"/>
  <c r="D19" i="5"/>
  <c r="E19" i="5" s="1"/>
  <c r="D18" i="5"/>
  <c r="E18" i="5" s="1"/>
  <c r="D17" i="5"/>
  <c r="E17" i="5" s="1"/>
  <c r="D15" i="5"/>
  <c r="D28" i="5" s="1"/>
  <c r="E28" i="5" s="1"/>
  <c r="D14" i="5"/>
  <c r="E14" i="5" s="1"/>
  <c r="D12" i="5"/>
  <c r="E12" i="5" s="1"/>
  <c r="D11" i="5"/>
  <c r="E11" i="5" s="1"/>
  <c r="D10" i="5"/>
  <c r="E10" i="5" s="1"/>
  <c r="E9" i="5"/>
  <c r="E8" i="5"/>
  <c r="E7" i="5"/>
  <c r="D61" i="5" l="1"/>
  <c r="E61" i="5" s="1"/>
  <c r="D27" i="5"/>
  <c r="E27" i="5" s="1"/>
  <c r="E15" i="5"/>
  <c r="G59" i="3" l="1"/>
  <c r="G60" i="3"/>
  <c r="G61" i="3"/>
  <c r="G62" i="3"/>
  <c r="G58" i="3"/>
  <c r="G51" i="3"/>
  <c r="G52" i="3"/>
  <c r="G53" i="3"/>
  <c r="G54" i="3"/>
  <c r="G55" i="3"/>
  <c r="G56" i="3"/>
  <c r="G50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35" i="3"/>
  <c r="G33" i="3"/>
  <c r="G32" i="3"/>
  <c r="G31" i="3"/>
  <c r="G26" i="3"/>
  <c r="G27" i="3"/>
  <c r="G28" i="3"/>
  <c r="G29" i="3"/>
  <c r="G25" i="3"/>
  <c r="G23" i="3"/>
  <c r="G22" i="3"/>
  <c r="G18" i="3"/>
  <c r="G19" i="3"/>
  <c r="G20" i="3"/>
  <c r="G17" i="3"/>
  <c r="G15" i="3"/>
  <c r="G14" i="3"/>
  <c r="G9" i="3"/>
  <c r="G10" i="3"/>
  <c r="G11" i="3"/>
  <c r="G12" i="3"/>
  <c r="G8" i="3"/>
  <c r="C53" i="2" l="1"/>
  <c r="C29" i="2"/>
  <c r="C20" i="2"/>
  <c r="C11" i="2"/>
  <c r="C62" i="6" l="1"/>
  <c r="C61" i="6"/>
  <c r="C60" i="6"/>
  <c r="C58" i="6"/>
  <c r="C56" i="6"/>
  <c r="C55" i="6"/>
  <c r="C54" i="6"/>
  <c r="C53" i="6"/>
  <c r="C52" i="6"/>
  <c r="C51" i="6"/>
  <c r="C50" i="6"/>
  <c r="C46" i="6"/>
  <c r="C45" i="6"/>
  <c r="C44" i="6"/>
  <c r="C43" i="6"/>
  <c r="C40" i="6"/>
  <c r="C39" i="6"/>
  <c r="C36" i="6"/>
  <c r="C35" i="6"/>
  <c r="E62" i="6"/>
  <c r="E61" i="6"/>
  <c r="E60" i="6"/>
  <c r="E59" i="6"/>
  <c r="E58" i="6"/>
  <c r="E56" i="6"/>
  <c r="E55" i="6"/>
  <c r="E54" i="6"/>
  <c r="E53" i="6"/>
  <c r="E52" i="6"/>
  <c r="E51" i="6"/>
  <c r="E50" i="6"/>
  <c r="E46" i="6"/>
  <c r="E45" i="6"/>
  <c r="E44" i="6"/>
  <c r="E43" i="6"/>
  <c r="E42" i="6"/>
  <c r="E40" i="6"/>
  <c r="E39" i="6"/>
  <c r="E38" i="6"/>
  <c r="E36" i="6"/>
  <c r="E35" i="6"/>
  <c r="E33" i="6"/>
  <c r="E32" i="6"/>
  <c r="E31" i="6"/>
  <c r="E29" i="6"/>
  <c r="E28" i="6"/>
  <c r="E27" i="6"/>
  <c r="E26" i="6"/>
  <c r="E25" i="6"/>
  <c r="E23" i="6"/>
  <c r="E22" i="6"/>
  <c r="E20" i="6"/>
  <c r="E19" i="6"/>
  <c r="E18" i="6"/>
  <c r="E17" i="6"/>
  <c r="E15" i="6"/>
  <c r="E14" i="6"/>
  <c r="E12" i="6"/>
  <c r="E11" i="6"/>
  <c r="E10" i="6"/>
  <c r="E9" i="6"/>
  <c r="E8" i="6"/>
  <c r="F62" i="6"/>
  <c r="F61" i="6"/>
  <c r="F60" i="6"/>
  <c r="C42" i="6"/>
  <c r="C59" i="6"/>
  <c r="F59" i="6"/>
  <c r="F58" i="6"/>
  <c r="F56" i="6"/>
  <c r="F55" i="6"/>
  <c r="F54" i="6"/>
  <c r="F53" i="6"/>
  <c r="F52" i="6"/>
  <c r="F51" i="6"/>
  <c r="F50" i="6"/>
  <c r="F46" i="6"/>
  <c r="F45" i="6"/>
  <c r="F44" i="6"/>
  <c r="F43" i="6"/>
  <c r="F42" i="6"/>
  <c r="F38" i="6"/>
  <c r="F40" i="6"/>
  <c r="F39" i="6"/>
  <c r="F36" i="6"/>
  <c r="F35" i="6"/>
  <c r="F33" i="6"/>
  <c r="F32" i="6"/>
  <c r="F31" i="6"/>
  <c r="D62" i="6"/>
  <c r="D61" i="6"/>
  <c r="D60" i="6"/>
  <c r="D59" i="6"/>
  <c r="D38" i="6"/>
  <c r="D58" i="6"/>
  <c r="D56" i="6"/>
  <c r="D55" i="6"/>
  <c r="D54" i="6"/>
  <c r="D53" i="6"/>
  <c r="D52" i="6"/>
  <c r="D51" i="6"/>
  <c r="D50" i="6"/>
  <c r="D46" i="6"/>
  <c r="D45" i="6"/>
  <c r="D44" i="6"/>
  <c r="D43" i="6"/>
  <c r="D42" i="6"/>
  <c r="D40" i="6"/>
  <c r="D39" i="6"/>
  <c r="D36" i="6"/>
  <c r="D35" i="6"/>
  <c r="D33" i="6"/>
  <c r="D32" i="6"/>
  <c r="D31" i="6"/>
  <c r="F29" i="6"/>
  <c r="F28" i="6"/>
  <c r="F27" i="6"/>
  <c r="F26" i="6"/>
  <c r="F25" i="6"/>
  <c r="F23" i="6"/>
  <c r="F22" i="6"/>
  <c r="F20" i="6"/>
  <c r="F19" i="6"/>
  <c r="F18" i="6"/>
  <c r="F17" i="6"/>
  <c r="F15" i="6"/>
  <c r="F14" i="6"/>
  <c r="F12" i="6"/>
  <c r="F11" i="6"/>
  <c r="F10" i="6"/>
  <c r="F9" i="6"/>
  <c r="F8" i="6"/>
  <c r="D29" i="6"/>
  <c r="D28" i="6"/>
  <c r="D27" i="6"/>
  <c r="D26" i="6"/>
  <c r="D25" i="6"/>
  <c r="D23" i="6"/>
  <c r="D22" i="6"/>
  <c r="D20" i="6"/>
  <c r="D19" i="6"/>
  <c r="D18" i="6"/>
  <c r="D17" i="6"/>
  <c r="D15" i="6"/>
  <c r="D14" i="6"/>
  <c r="D12" i="6"/>
  <c r="D11" i="6"/>
  <c r="D10" i="6"/>
  <c r="D9" i="6"/>
  <c r="D8" i="6"/>
  <c r="C29" i="6"/>
  <c r="C28" i="6"/>
  <c r="C27" i="6"/>
  <c r="C26" i="6"/>
  <c r="C25" i="6"/>
  <c r="C23" i="6"/>
  <c r="C22" i="6"/>
  <c r="C20" i="6"/>
  <c r="C19" i="6"/>
  <c r="C18" i="6"/>
  <c r="C17" i="6"/>
  <c r="C15" i="6"/>
  <c r="C14" i="6"/>
  <c r="C12" i="6"/>
  <c r="C11" i="6"/>
  <c r="C10" i="6"/>
  <c r="C9" i="6"/>
  <c r="C8" i="6"/>
  <c r="E50" i="1" l="1"/>
  <c r="E51" i="1"/>
  <c r="G51" i="6"/>
  <c r="G50" i="6"/>
  <c r="F51" i="3"/>
  <c r="F50" i="3"/>
  <c r="C50" i="4"/>
  <c r="C51" i="4"/>
  <c r="H63" i="1"/>
  <c r="C37" i="4"/>
  <c r="B29" i="3" s="1"/>
  <c r="J4" i="1"/>
  <c r="E14" i="3" s="1"/>
  <c r="F53" i="3"/>
  <c r="G37" i="6"/>
  <c r="J37" i="6" s="1"/>
  <c r="G53" i="6"/>
  <c r="I53" i="6" s="1"/>
  <c r="F12" i="3"/>
  <c r="G12" i="6"/>
  <c r="G61" i="6"/>
  <c r="G29" i="6"/>
  <c r="I29" i="6" s="1"/>
  <c r="F29" i="3"/>
  <c r="G58" i="6"/>
  <c r="F58" i="3"/>
  <c r="G62" i="6"/>
  <c r="F62" i="3"/>
  <c r="F61" i="3"/>
  <c r="G60" i="6"/>
  <c r="F60" i="3"/>
  <c r="F59" i="3"/>
  <c r="C42" i="4"/>
  <c r="G42" i="6"/>
  <c r="F42" i="3"/>
  <c r="C41" i="4"/>
  <c r="G41" i="6"/>
  <c r="F41" i="3"/>
  <c r="C38" i="4"/>
  <c r="G38" i="6"/>
  <c r="I38" i="6" s="1"/>
  <c r="F38" i="3"/>
  <c r="F37" i="3"/>
  <c r="G48" i="6"/>
  <c r="F48" i="3"/>
  <c r="G47" i="6"/>
  <c r="F47" i="3"/>
  <c r="C56" i="4"/>
  <c r="G56" i="6"/>
  <c r="F56" i="3"/>
  <c r="G55" i="6"/>
  <c r="F55" i="3"/>
  <c r="G54" i="6"/>
  <c r="F54" i="3"/>
  <c r="G52" i="6"/>
  <c r="J52" i="6" s="1"/>
  <c r="F52" i="3"/>
  <c r="G46" i="6"/>
  <c r="F46" i="3"/>
  <c r="G45" i="6"/>
  <c r="H45" i="6" s="1"/>
  <c r="F45" i="3"/>
  <c r="G44" i="6"/>
  <c r="F44" i="3"/>
  <c r="G43" i="6"/>
  <c r="F43" i="3"/>
  <c r="G40" i="6"/>
  <c r="F40" i="3"/>
  <c r="G39" i="6"/>
  <c r="F39" i="3"/>
  <c r="G36" i="6"/>
  <c r="F36" i="3"/>
  <c r="G35" i="6"/>
  <c r="F35" i="3"/>
  <c r="C33" i="1"/>
  <c r="D33" i="1"/>
  <c r="F33" i="3"/>
  <c r="C32" i="1"/>
  <c r="D32" i="1"/>
  <c r="F32" i="3"/>
  <c r="C31" i="1"/>
  <c r="D31" i="1"/>
  <c r="F31" i="3"/>
  <c r="G28" i="6"/>
  <c r="F28" i="3"/>
  <c r="G27" i="6"/>
  <c r="F27" i="3"/>
  <c r="G26" i="6"/>
  <c r="F26" i="3"/>
  <c r="G25" i="6"/>
  <c r="F25" i="3"/>
  <c r="G23" i="6"/>
  <c r="F23" i="3"/>
  <c r="G22" i="6"/>
  <c r="F22" i="3"/>
  <c r="G20" i="6"/>
  <c r="F20" i="3"/>
  <c r="G19" i="6"/>
  <c r="F19" i="3"/>
  <c r="G18" i="6"/>
  <c r="F18" i="3"/>
  <c r="G17" i="6"/>
  <c r="F17" i="3"/>
  <c r="G15" i="6"/>
  <c r="F15" i="3"/>
  <c r="G14" i="6"/>
  <c r="F14" i="3"/>
  <c r="G10" i="6"/>
  <c r="F10" i="3"/>
  <c r="G33" i="6"/>
  <c r="G32" i="6"/>
  <c r="G31" i="6"/>
  <c r="H31" i="6" s="1"/>
  <c r="G11" i="6"/>
  <c r="G9" i="6"/>
  <c r="G8" i="6"/>
  <c r="G7" i="6"/>
  <c r="D28" i="2"/>
  <c r="E28" i="1" s="1"/>
  <c r="G59" i="6"/>
  <c r="J59" i="6" s="1"/>
  <c r="D10" i="2"/>
  <c r="E10" i="1" s="1"/>
  <c r="C55" i="4"/>
  <c r="C48" i="4"/>
  <c r="C47" i="4"/>
  <c r="C46" i="4"/>
  <c r="C45" i="4"/>
  <c r="C44" i="4"/>
  <c r="C43" i="4"/>
  <c r="C40" i="4"/>
  <c r="C39" i="4"/>
  <c r="C36" i="4"/>
  <c r="C35" i="4"/>
  <c r="C33" i="4"/>
  <c r="C32" i="4"/>
  <c r="C31" i="4"/>
  <c r="C28" i="4"/>
  <c r="C27" i="4"/>
  <c r="C26" i="4"/>
  <c r="C25" i="4"/>
  <c r="C22" i="4"/>
  <c r="C20" i="4"/>
  <c r="C19" i="4"/>
  <c r="C18" i="4"/>
  <c r="C17" i="4"/>
  <c r="C14" i="4"/>
  <c r="C11" i="4"/>
  <c r="C10" i="4"/>
  <c r="C9" i="4"/>
  <c r="C8" i="4"/>
  <c r="C7" i="4"/>
  <c r="F11" i="3"/>
  <c r="F9" i="3"/>
  <c r="F8" i="3"/>
  <c r="F7" i="3"/>
  <c r="D62" i="2"/>
  <c r="E62" i="1" s="1"/>
  <c r="D61" i="2"/>
  <c r="E61" i="1" s="1"/>
  <c r="D60" i="2"/>
  <c r="E60" i="1" s="1"/>
  <c r="D59" i="2"/>
  <c r="E59" i="1" s="1"/>
  <c r="D58" i="2"/>
  <c r="E58" i="1" s="1"/>
  <c r="D56" i="2"/>
  <c r="E56" i="1" s="1"/>
  <c r="D55" i="2"/>
  <c r="E55" i="1" s="1"/>
  <c r="D54" i="2"/>
  <c r="E54" i="1" s="1"/>
  <c r="D53" i="2"/>
  <c r="E53" i="1" s="1"/>
  <c r="D52" i="2"/>
  <c r="E52" i="1" s="1"/>
  <c r="D48" i="2"/>
  <c r="E48" i="1" s="1"/>
  <c r="D47" i="2"/>
  <c r="E47" i="1" s="1"/>
  <c r="D46" i="2"/>
  <c r="E46" i="1" s="1"/>
  <c r="D45" i="2"/>
  <c r="E45" i="1" s="1"/>
  <c r="D44" i="2"/>
  <c r="E44" i="1" s="1"/>
  <c r="D43" i="2"/>
  <c r="E43" i="1" s="1"/>
  <c r="D42" i="2"/>
  <c r="E42" i="1" s="1"/>
  <c r="D41" i="2"/>
  <c r="E41" i="1" s="1"/>
  <c r="D40" i="2"/>
  <c r="E40" i="1" s="1"/>
  <c r="D39" i="2"/>
  <c r="E39" i="1" s="1"/>
  <c r="D38" i="2"/>
  <c r="E38" i="1" s="1"/>
  <c r="D37" i="2"/>
  <c r="E37" i="1" s="1"/>
  <c r="D36" i="2"/>
  <c r="E36" i="1" s="1"/>
  <c r="D35" i="2"/>
  <c r="E35" i="1" s="1"/>
  <c r="D33" i="2"/>
  <c r="E33" i="1" s="1"/>
  <c r="D32" i="2"/>
  <c r="E32" i="1" s="1"/>
  <c r="D31" i="2"/>
  <c r="E31" i="1" s="1"/>
  <c r="D29" i="2"/>
  <c r="E29" i="1" s="1"/>
  <c r="D27" i="2"/>
  <c r="E27" i="1" s="1"/>
  <c r="D26" i="2"/>
  <c r="E26" i="1" s="1"/>
  <c r="D25" i="2"/>
  <c r="E25" i="1" s="1"/>
  <c r="D23" i="2"/>
  <c r="E23" i="1" s="1"/>
  <c r="D22" i="2"/>
  <c r="E22" i="1" s="1"/>
  <c r="D20" i="2"/>
  <c r="E20" i="1" s="1"/>
  <c r="D19" i="2"/>
  <c r="E19" i="1" s="1"/>
  <c r="D18" i="2"/>
  <c r="E18" i="1" s="1"/>
  <c r="D17" i="2"/>
  <c r="E17" i="1" s="1"/>
  <c r="D15" i="2"/>
  <c r="E15" i="1" s="1"/>
  <c r="D14" i="2"/>
  <c r="E14" i="1" s="1"/>
  <c r="D12" i="2"/>
  <c r="E12" i="1" s="1"/>
  <c r="D11" i="2"/>
  <c r="E11" i="1" s="1"/>
  <c r="D9" i="2"/>
  <c r="E9" i="1" s="1"/>
  <c r="D8" i="2"/>
  <c r="E8" i="1" s="1"/>
  <c r="D7" i="2"/>
  <c r="E7" i="1" s="1"/>
  <c r="E33" i="5"/>
  <c r="E32" i="5"/>
  <c r="E31" i="5"/>
  <c r="C58" i="4"/>
  <c r="B44" i="3" l="1"/>
  <c r="B8" i="3"/>
  <c r="B48" i="3"/>
  <c r="B23" i="3"/>
  <c r="B35" i="3"/>
  <c r="B53" i="3"/>
  <c r="B19" i="3"/>
  <c r="B61" i="3"/>
  <c r="B54" i="3"/>
  <c r="B20" i="3"/>
  <c r="B11" i="3"/>
  <c r="B18" i="3"/>
  <c r="B37" i="3"/>
  <c r="B39" i="3"/>
  <c r="B33" i="3"/>
  <c r="E33" i="3"/>
  <c r="E31" i="3"/>
  <c r="E52" i="3"/>
  <c r="E37" i="3"/>
  <c r="E12" i="3"/>
  <c r="E42" i="3"/>
  <c r="H52" i="6"/>
  <c r="E51" i="3"/>
  <c r="E41" i="3"/>
  <c r="E54" i="3"/>
  <c r="E50" i="3"/>
  <c r="J31" i="6"/>
  <c r="B9" i="3"/>
  <c r="B15" i="3"/>
  <c r="B27" i="3"/>
  <c r="I52" i="6"/>
  <c r="E7" i="3"/>
  <c r="B14" i="3"/>
  <c r="H14" i="3" s="1"/>
  <c r="B36" i="3"/>
  <c r="E60" i="3"/>
  <c r="B50" i="3"/>
  <c r="B52" i="3"/>
  <c r="E43" i="3"/>
  <c r="E47" i="3"/>
  <c r="E19" i="3"/>
  <c r="E61" i="3"/>
  <c r="H38" i="6"/>
  <c r="E56" i="3"/>
  <c r="E44" i="3"/>
  <c r="E11" i="3"/>
  <c r="E17" i="3"/>
  <c r="I58" i="6"/>
  <c r="J58" i="6"/>
  <c r="J29" i="6"/>
  <c r="I59" i="6"/>
  <c r="J53" i="6"/>
  <c r="I37" i="6"/>
  <c r="H59" i="6"/>
  <c r="J38" i="6"/>
  <c r="H37" i="6"/>
  <c r="H29" i="6"/>
  <c r="H53" i="6"/>
  <c r="E9" i="3"/>
  <c r="E53" i="3"/>
  <c r="E18" i="3"/>
  <c r="E10" i="3"/>
  <c r="E26" i="3"/>
  <c r="E20" i="3"/>
  <c r="E15" i="3"/>
  <c r="I22" i="6"/>
  <c r="H22" i="6"/>
  <c r="J28" i="6"/>
  <c r="I28" i="6"/>
  <c r="H58" i="6"/>
  <c r="B62" i="3"/>
  <c r="B42" i="3"/>
  <c r="E27" i="3"/>
  <c r="E28" i="3"/>
  <c r="E55" i="3"/>
  <c r="E59" i="3"/>
  <c r="E36" i="3"/>
  <c r="E39" i="3"/>
  <c r="H7" i="6"/>
  <c r="J7" i="6"/>
  <c r="J46" i="6"/>
  <c r="I46" i="6"/>
  <c r="I33" i="6"/>
  <c r="H33" i="6"/>
  <c r="J33" i="6"/>
  <c r="I48" i="6"/>
  <c r="J48" i="6"/>
  <c r="H48" i="6"/>
  <c r="I60" i="6"/>
  <c r="J60" i="6"/>
  <c r="H60" i="6"/>
  <c r="I20" i="6"/>
  <c r="H20" i="6"/>
  <c r="J20" i="6"/>
  <c r="J35" i="6"/>
  <c r="I35" i="6"/>
  <c r="H35" i="6"/>
  <c r="H14" i="6"/>
  <c r="J14" i="6"/>
  <c r="I14" i="6"/>
  <c r="I11" i="6"/>
  <c r="J11" i="6"/>
  <c r="H11" i="6"/>
  <c r="J9" i="6"/>
  <c r="I9" i="6"/>
  <c r="H9" i="6"/>
  <c r="H27" i="6"/>
  <c r="H46" i="6"/>
  <c r="I45" i="6"/>
  <c r="J22" i="6"/>
  <c r="I27" i="6"/>
  <c r="J45" i="6"/>
  <c r="H28" i="6"/>
  <c r="I31" i="6"/>
  <c r="J27" i="6"/>
  <c r="I7" i="6"/>
  <c r="E29" i="3"/>
  <c r="H29" i="3" s="1"/>
  <c r="E45" i="3"/>
  <c r="E38" i="3"/>
  <c r="E48" i="3"/>
  <c r="H48" i="3" s="1"/>
  <c r="E25" i="3"/>
  <c r="E8" i="3"/>
  <c r="E40" i="3"/>
  <c r="E35" i="3"/>
  <c r="E62" i="3"/>
  <c r="E23" i="3"/>
  <c r="E46" i="3"/>
  <c r="E58" i="3"/>
  <c r="E22" i="3"/>
  <c r="E32" i="3"/>
  <c r="H15" i="6"/>
  <c r="I15" i="6"/>
  <c r="J15" i="6"/>
  <c r="J25" i="6"/>
  <c r="I25" i="6"/>
  <c r="H25" i="6"/>
  <c r="H43" i="6"/>
  <c r="I43" i="6"/>
  <c r="J43" i="6"/>
  <c r="I54" i="6"/>
  <c r="H54" i="6"/>
  <c r="J54" i="6"/>
  <c r="J41" i="6"/>
  <c r="H41" i="6"/>
  <c r="I41" i="6"/>
  <c r="I12" i="6"/>
  <c r="J12" i="6"/>
  <c r="H12" i="6"/>
  <c r="H51" i="6"/>
  <c r="I51" i="6"/>
  <c r="J51" i="6"/>
  <c r="H23" i="6"/>
  <c r="I23" i="6"/>
  <c r="J23" i="6"/>
  <c r="H36" i="6"/>
  <c r="I36" i="6"/>
  <c r="J36" i="6"/>
  <c r="H56" i="6"/>
  <c r="I56" i="6"/>
  <c r="J56" i="6"/>
  <c r="J47" i="6"/>
  <c r="I47" i="6"/>
  <c r="H47" i="6"/>
  <c r="H61" i="6"/>
  <c r="I61" i="6"/>
  <c r="J61" i="6"/>
  <c r="I8" i="6"/>
  <c r="H8" i="6"/>
  <c r="J8" i="6"/>
  <c r="J32" i="6"/>
  <c r="H32" i="6"/>
  <c r="I32" i="6"/>
  <c r="I10" i="6"/>
  <c r="J10" i="6"/>
  <c r="H10" i="6"/>
  <c r="J40" i="6"/>
  <c r="H40" i="6"/>
  <c r="I40" i="6"/>
  <c r="J50" i="6"/>
  <c r="I50" i="6"/>
  <c r="H50" i="6"/>
  <c r="J17" i="6"/>
  <c r="H17" i="6"/>
  <c r="I17" i="6"/>
  <c r="I18" i="6"/>
  <c r="H18" i="6"/>
  <c r="J18" i="6"/>
  <c r="I19" i="6"/>
  <c r="J19" i="6"/>
  <c r="H19" i="6"/>
  <c r="I26" i="6"/>
  <c r="H26" i="6"/>
  <c r="J26" i="6"/>
  <c r="H39" i="6"/>
  <c r="I39" i="6"/>
  <c r="J39" i="6"/>
  <c r="H44" i="6"/>
  <c r="I44" i="6"/>
  <c r="J44" i="6"/>
  <c r="J55" i="6"/>
  <c r="H55" i="6"/>
  <c r="I55" i="6"/>
  <c r="J62" i="6"/>
  <c r="H62" i="6"/>
  <c r="I62" i="6"/>
  <c r="I42" i="6"/>
  <c r="J42" i="6"/>
  <c r="H42" i="6"/>
  <c r="B28" i="3"/>
  <c r="B40" i="3"/>
  <c r="B38" i="3"/>
  <c r="B41" i="3"/>
  <c r="B58" i="3"/>
  <c r="B7" i="3"/>
  <c r="B10" i="3"/>
  <c r="B17" i="3"/>
  <c r="B22" i="3"/>
  <c r="B25" i="3"/>
  <c r="B32" i="3"/>
  <c r="B43" i="3"/>
  <c r="B45" i="3"/>
  <c r="B56" i="3"/>
  <c r="B47" i="3"/>
  <c r="B60" i="3"/>
  <c r="B51" i="3"/>
  <c r="B26" i="3"/>
  <c r="B31" i="3"/>
  <c r="B46" i="3"/>
  <c r="B55" i="3"/>
  <c r="B59" i="3"/>
  <c r="B12" i="3"/>
  <c r="H18" i="3" l="1"/>
  <c r="H33" i="3"/>
  <c r="H53" i="3"/>
  <c r="H44" i="3"/>
  <c r="H37" i="3"/>
  <c r="H19" i="3"/>
  <c r="H35" i="3"/>
  <c r="H8" i="3"/>
  <c r="H11" i="3"/>
  <c r="H23" i="3"/>
  <c r="H39" i="3"/>
  <c r="H20" i="3"/>
  <c r="H61" i="3"/>
  <c r="H54" i="3"/>
  <c r="H12" i="3"/>
  <c r="H15" i="3"/>
  <c r="H42" i="3"/>
  <c r="H52" i="3"/>
  <c r="H31" i="3"/>
  <c r="H41" i="3"/>
  <c r="H55" i="3"/>
  <c r="K52" i="6"/>
  <c r="B52" i="1" s="1"/>
  <c r="H51" i="3"/>
  <c r="H56" i="3"/>
  <c r="H7" i="3"/>
  <c r="K31" i="6"/>
  <c r="K37" i="6"/>
  <c r="C17" i="3" s="1"/>
  <c r="I17" i="3" s="1"/>
  <c r="H50" i="3"/>
  <c r="H60" i="3"/>
  <c r="H59" i="3"/>
  <c r="H43" i="3"/>
  <c r="H28" i="3"/>
  <c r="H9" i="3"/>
  <c r="H27" i="3"/>
  <c r="H62" i="3"/>
  <c r="H58" i="3"/>
  <c r="H36" i="3"/>
  <c r="H38" i="3"/>
  <c r="K58" i="6"/>
  <c r="B58" i="1" s="1"/>
  <c r="D58" i="1" s="1"/>
  <c r="K38" i="6"/>
  <c r="B38" i="1" s="1"/>
  <c r="C38" i="1" s="1"/>
  <c r="K29" i="6"/>
  <c r="B29" i="1" s="1"/>
  <c r="C29" i="1" s="1"/>
  <c r="K59" i="6"/>
  <c r="B59" i="1" s="1"/>
  <c r="H17" i="3"/>
  <c r="J17" i="3" s="1"/>
  <c r="G17" i="1" s="1"/>
  <c r="H47" i="3"/>
  <c r="H10" i="3"/>
  <c r="K35" i="6"/>
  <c r="B35" i="1" s="1"/>
  <c r="D35" i="1" s="1"/>
  <c r="K53" i="6"/>
  <c r="H32" i="3"/>
  <c r="H26" i="3"/>
  <c r="C58" i="1"/>
  <c r="K22" i="6"/>
  <c r="B22" i="1" s="1"/>
  <c r="K27" i="6"/>
  <c r="B27" i="1" s="1"/>
  <c r="K7" i="6"/>
  <c r="B7" i="1" s="1"/>
  <c r="K61" i="6"/>
  <c r="B61" i="1" s="1"/>
  <c r="K23" i="6"/>
  <c r="B23" i="1" s="1"/>
  <c r="K54" i="6"/>
  <c r="B54" i="1" s="1"/>
  <c r="D52" i="1"/>
  <c r="C52" i="1"/>
  <c r="K28" i="6"/>
  <c r="B28" i="1" s="1"/>
  <c r="D29" i="1"/>
  <c r="H46" i="3"/>
  <c r="H25" i="3"/>
  <c r="H40" i="3"/>
  <c r="K43" i="6"/>
  <c r="B43" i="1" s="1"/>
  <c r="K39" i="6"/>
  <c r="B39" i="1" s="1"/>
  <c r="K45" i="6"/>
  <c r="B45" i="1" s="1"/>
  <c r="K50" i="6"/>
  <c r="B50" i="1" s="1"/>
  <c r="K46" i="6"/>
  <c r="B46" i="1" s="1"/>
  <c r="K14" i="6"/>
  <c r="B14" i="1" s="1"/>
  <c r="K20" i="6"/>
  <c r="B20" i="1" s="1"/>
  <c r="K48" i="6"/>
  <c r="B48" i="1" s="1"/>
  <c r="K32" i="6"/>
  <c r="K36" i="6"/>
  <c r="B36" i="1" s="1"/>
  <c r="K41" i="6"/>
  <c r="B41" i="1" s="1"/>
  <c r="K10" i="6"/>
  <c r="B10" i="1" s="1"/>
  <c r="K8" i="6"/>
  <c r="B8" i="1" s="1"/>
  <c r="K9" i="6"/>
  <c r="B9" i="1" s="1"/>
  <c r="K60" i="6"/>
  <c r="B60" i="1" s="1"/>
  <c r="K26" i="6"/>
  <c r="B26" i="1" s="1"/>
  <c r="K18" i="6"/>
  <c r="B18" i="1" s="1"/>
  <c r="K51" i="6"/>
  <c r="B51" i="1" s="1"/>
  <c r="K11" i="6"/>
  <c r="B11" i="1" s="1"/>
  <c r="K33" i="6"/>
  <c r="H45" i="3"/>
  <c r="H22" i="3"/>
  <c r="K40" i="6"/>
  <c r="B40" i="1" s="1"/>
  <c r="K42" i="6"/>
  <c r="B42" i="1" s="1"/>
  <c r="K62" i="6"/>
  <c r="B62" i="1" s="1"/>
  <c r="K44" i="6"/>
  <c r="B44" i="1" s="1"/>
  <c r="K19" i="6"/>
  <c r="B19" i="1" s="1"/>
  <c r="K17" i="6"/>
  <c r="B17" i="1" s="1"/>
  <c r="K47" i="6"/>
  <c r="B47" i="1" s="1"/>
  <c r="K25" i="6"/>
  <c r="B25" i="1" s="1"/>
  <c r="K56" i="6"/>
  <c r="B56" i="1" s="1"/>
  <c r="K12" i="6"/>
  <c r="B12" i="1" s="1"/>
  <c r="K15" i="6"/>
  <c r="B15" i="1" s="1"/>
  <c r="K55" i="6"/>
  <c r="B55" i="1" s="1"/>
  <c r="B53" i="1" l="1"/>
  <c r="C53" i="1" s="1"/>
  <c r="D53" i="1"/>
  <c r="C35" i="1"/>
  <c r="C59" i="1"/>
  <c r="D59" i="1"/>
  <c r="C45" i="3"/>
  <c r="I45" i="3" s="1"/>
  <c r="J45" i="3" s="1"/>
  <c r="G45" i="1" s="1"/>
  <c r="C59" i="3"/>
  <c r="I59" i="3" s="1"/>
  <c r="J59" i="3" s="1"/>
  <c r="G59" i="1" s="1"/>
  <c r="C42" i="3"/>
  <c r="I42" i="3" s="1"/>
  <c r="J42" i="3" s="1"/>
  <c r="G42" i="1" s="1"/>
  <c r="C56" i="3"/>
  <c r="I56" i="3" s="1"/>
  <c r="J56" i="3" s="1"/>
  <c r="G56" i="1" s="1"/>
  <c r="C43" i="3"/>
  <c r="I43" i="3" s="1"/>
  <c r="J43" i="3" s="1"/>
  <c r="G43" i="1" s="1"/>
  <c r="C26" i="3"/>
  <c r="I26" i="3" s="1"/>
  <c r="J26" i="3" s="1"/>
  <c r="G26" i="1" s="1"/>
  <c r="C19" i="3"/>
  <c r="I19" i="3" s="1"/>
  <c r="J19" i="3" s="1"/>
  <c r="G19" i="1" s="1"/>
  <c r="C22" i="3"/>
  <c r="I22" i="3" s="1"/>
  <c r="J22" i="3" s="1"/>
  <c r="G22" i="1" s="1"/>
  <c r="C9" i="3"/>
  <c r="I9" i="3" s="1"/>
  <c r="J9" i="3" s="1"/>
  <c r="G9" i="1" s="1"/>
  <c r="C23" i="3"/>
  <c r="I23" i="3" s="1"/>
  <c r="J23" i="3" s="1"/>
  <c r="G23" i="1" s="1"/>
  <c r="C55" i="3"/>
  <c r="I55" i="3" s="1"/>
  <c r="J55" i="3" s="1"/>
  <c r="G55" i="1" s="1"/>
  <c r="C48" i="3"/>
  <c r="I48" i="3" s="1"/>
  <c r="J48" i="3" s="1"/>
  <c r="G48" i="1" s="1"/>
  <c r="C12" i="3"/>
  <c r="I12" i="3" s="1"/>
  <c r="J12" i="3" s="1"/>
  <c r="G12" i="1" s="1"/>
  <c r="C38" i="3"/>
  <c r="I38" i="3" s="1"/>
  <c r="J38" i="3" s="1"/>
  <c r="G38" i="1" s="1"/>
  <c r="I38" i="1" s="1"/>
  <c r="J38" i="1" s="1"/>
  <c r="C62" i="3"/>
  <c r="I62" i="3" s="1"/>
  <c r="J62" i="3" s="1"/>
  <c r="G62" i="1" s="1"/>
  <c r="C46" i="3"/>
  <c r="I46" i="3" s="1"/>
  <c r="J46" i="3" s="1"/>
  <c r="G46" i="1" s="1"/>
  <c r="C7" i="3"/>
  <c r="I7" i="3" s="1"/>
  <c r="J7" i="3" s="1"/>
  <c r="G7" i="1" s="1"/>
  <c r="C27" i="3"/>
  <c r="I27" i="3" s="1"/>
  <c r="J27" i="3" s="1"/>
  <c r="G27" i="1" s="1"/>
  <c r="C20" i="3"/>
  <c r="I20" i="3" s="1"/>
  <c r="J20" i="3" s="1"/>
  <c r="G20" i="1" s="1"/>
  <c r="C44" i="3"/>
  <c r="I44" i="3" s="1"/>
  <c r="J44" i="3" s="1"/>
  <c r="G44" i="1" s="1"/>
  <c r="C18" i="3"/>
  <c r="I18" i="3" s="1"/>
  <c r="J18" i="3" s="1"/>
  <c r="G18" i="1" s="1"/>
  <c r="C60" i="3"/>
  <c r="I60" i="3" s="1"/>
  <c r="J60" i="3" s="1"/>
  <c r="G60" i="1" s="1"/>
  <c r="C40" i="3"/>
  <c r="I40" i="3" s="1"/>
  <c r="J40" i="3" s="1"/>
  <c r="G40" i="1" s="1"/>
  <c r="C15" i="3"/>
  <c r="I15" i="3" s="1"/>
  <c r="J15" i="3" s="1"/>
  <c r="G15" i="1" s="1"/>
  <c r="C14" i="3"/>
  <c r="I14" i="3" s="1"/>
  <c r="J14" i="3" s="1"/>
  <c r="G14" i="1" s="1"/>
  <c r="C31" i="3"/>
  <c r="I31" i="3" s="1"/>
  <c r="J31" i="3" s="1"/>
  <c r="G31" i="1" s="1"/>
  <c r="I31" i="1" s="1"/>
  <c r="J31" i="1" s="1"/>
  <c r="C10" i="3"/>
  <c r="I10" i="3" s="1"/>
  <c r="J10" i="3" s="1"/>
  <c r="G10" i="1" s="1"/>
  <c r="C33" i="3"/>
  <c r="I33" i="3" s="1"/>
  <c r="J33" i="3" s="1"/>
  <c r="G33" i="1" s="1"/>
  <c r="I33" i="1" s="1"/>
  <c r="J33" i="1" s="1"/>
  <c r="C61" i="3"/>
  <c r="I61" i="3" s="1"/>
  <c r="J61" i="3" s="1"/>
  <c r="G61" i="1" s="1"/>
  <c r="C28" i="3"/>
  <c r="I28" i="3" s="1"/>
  <c r="J28" i="3" s="1"/>
  <c r="G28" i="1" s="1"/>
  <c r="C32" i="3"/>
  <c r="I32" i="3" s="1"/>
  <c r="J32" i="3" s="1"/>
  <c r="G32" i="1" s="1"/>
  <c r="I32" i="1" s="1"/>
  <c r="J32" i="1" s="1"/>
  <c r="C11" i="3"/>
  <c r="I11" i="3" s="1"/>
  <c r="J11" i="3" s="1"/>
  <c r="G11" i="1" s="1"/>
  <c r="C36" i="3"/>
  <c r="I36" i="3" s="1"/>
  <c r="J36" i="3" s="1"/>
  <c r="G36" i="1" s="1"/>
  <c r="C29" i="3"/>
  <c r="I29" i="3" s="1"/>
  <c r="J29" i="3" s="1"/>
  <c r="G29" i="1" s="1"/>
  <c r="C41" i="3"/>
  <c r="I41" i="3" s="1"/>
  <c r="J41" i="3" s="1"/>
  <c r="G41" i="1" s="1"/>
  <c r="C35" i="3"/>
  <c r="I35" i="3" s="1"/>
  <c r="J35" i="3" s="1"/>
  <c r="G35" i="1" s="1"/>
  <c r="B37" i="1"/>
  <c r="C37" i="1" s="1"/>
  <c r="C52" i="3"/>
  <c r="I52" i="3" s="1"/>
  <c r="J52" i="3" s="1"/>
  <c r="G52" i="1" s="1"/>
  <c r="I52" i="1" s="1"/>
  <c r="J52" i="1" s="1"/>
  <c r="C25" i="3"/>
  <c r="I25" i="3" s="1"/>
  <c r="J25" i="3" s="1"/>
  <c r="G25" i="1" s="1"/>
  <c r="C53" i="3"/>
  <c r="I53" i="3" s="1"/>
  <c r="J53" i="3" s="1"/>
  <c r="G53" i="1" s="1"/>
  <c r="C50" i="3"/>
  <c r="I50" i="3" s="1"/>
  <c r="J50" i="3" s="1"/>
  <c r="G50" i="1" s="1"/>
  <c r="C58" i="3"/>
  <c r="I58" i="3" s="1"/>
  <c r="J58" i="3" s="1"/>
  <c r="G58" i="1" s="1"/>
  <c r="I58" i="1" s="1"/>
  <c r="J58" i="1" s="1"/>
  <c r="C8" i="3"/>
  <c r="I8" i="3" s="1"/>
  <c r="J8" i="3" s="1"/>
  <c r="G8" i="1" s="1"/>
  <c r="C54" i="3"/>
  <c r="I54" i="3" s="1"/>
  <c r="J54" i="3" s="1"/>
  <c r="G54" i="1" s="1"/>
  <c r="C37" i="3"/>
  <c r="I37" i="3" s="1"/>
  <c r="J37" i="3" s="1"/>
  <c r="G37" i="1" s="1"/>
  <c r="C51" i="3"/>
  <c r="I51" i="3" s="1"/>
  <c r="J51" i="3" s="1"/>
  <c r="G51" i="1" s="1"/>
  <c r="C47" i="3"/>
  <c r="I47" i="3" s="1"/>
  <c r="J47" i="3" s="1"/>
  <c r="G47" i="1" s="1"/>
  <c r="C39" i="3"/>
  <c r="I39" i="3" s="1"/>
  <c r="J39" i="3" s="1"/>
  <c r="G39" i="1" s="1"/>
  <c r="C17" i="1"/>
  <c r="D17" i="1"/>
  <c r="D9" i="1"/>
  <c r="C9" i="1"/>
  <c r="C48" i="1"/>
  <c r="D50" i="1"/>
  <c r="C50" i="1"/>
  <c r="C23" i="1"/>
  <c r="D23" i="1"/>
  <c r="C22" i="1"/>
  <c r="D22" i="1"/>
  <c r="D19" i="1"/>
  <c r="C19" i="1"/>
  <c r="C11" i="1"/>
  <c r="D11" i="1"/>
  <c r="C26" i="1"/>
  <c r="D26" i="1"/>
  <c r="D8" i="1"/>
  <c r="C8" i="1"/>
  <c r="C36" i="1"/>
  <c r="D36" i="1"/>
  <c r="D20" i="1"/>
  <c r="C20" i="1"/>
  <c r="C45" i="1"/>
  <c r="D45" i="1"/>
  <c r="D61" i="1"/>
  <c r="C61" i="1"/>
  <c r="D55" i="1"/>
  <c r="C55" i="1"/>
  <c r="D25" i="1"/>
  <c r="C25" i="1"/>
  <c r="D44" i="1"/>
  <c r="C44" i="1"/>
  <c r="C10" i="1"/>
  <c r="D10" i="1"/>
  <c r="D14" i="1"/>
  <c r="C14" i="1"/>
  <c r="D39" i="1"/>
  <c r="C39" i="1"/>
  <c r="D7" i="1"/>
  <c r="C7" i="1"/>
  <c r="D15" i="1"/>
  <c r="C15" i="1"/>
  <c r="C47" i="1"/>
  <c r="D62" i="1"/>
  <c r="C62" i="1"/>
  <c r="D51" i="1"/>
  <c r="C51" i="1"/>
  <c r="D60" i="1"/>
  <c r="C60" i="1"/>
  <c r="C46" i="1"/>
  <c r="D46" i="1"/>
  <c r="C43" i="1"/>
  <c r="D43" i="1"/>
  <c r="C54" i="1"/>
  <c r="D54" i="1"/>
  <c r="D27" i="1"/>
  <c r="C27" i="1"/>
  <c r="D12" i="1"/>
  <c r="C12" i="1"/>
  <c r="D18" i="1"/>
  <c r="C18" i="1"/>
  <c r="C28" i="1"/>
  <c r="D28" i="1"/>
  <c r="C40" i="1"/>
  <c r="D40" i="1"/>
  <c r="C56" i="1"/>
  <c r="D56" i="1"/>
  <c r="C42" i="1"/>
  <c r="C41" i="1"/>
  <c r="I59" i="1" l="1"/>
  <c r="J59" i="1" s="1"/>
  <c r="I35" i="1"/>
  <c r="J35" i="1" s="1"/>
  <c r="I53" i="1"/>
  <c r="J53" i="1" s="1"/>
  <c r="I60" i="1"/>
  <c r="J60" i="1" s="1"/>
  <c r="I47" i="1"/>
  <c r="J47" i="1" s="1"/>
  <c r="I41" i="1"/>
  <c r="J41" i="1" s="1"/>
  <c r="I37" i="1"/>
  <c r="J37" i="1" s="1"/>
  <c r="I42" i="1"/>
  <c r="J42" i="1" s="1"/>
  <c r="I62" i="1"/>
  <c r="J62" i="1" s="1"/>
  <c r="I48" i="1"/>
  <c r="J48" i="1" s="1"/>
  <c r="I19" i="1"/>
  <c r="J19" i="1" s="1"/>
  <c r="I61" i="1"/>
  <c r="J61" i="1" s="1"/>
  <c r="I28" i="1"/>
  <c r="J28" i="1" s="1"/>
  <c r="I29" i="1"/>
  <c r="J29" i="1" s="1"/>
  <c r="I55" i="1"/>
  <c r="J55" i="1" s="1"/>
  <c r="I36" i="1"/>
  <c r="J36" i="1" s="1"/>
  <c r="I8" i="1"/>
  <c r="J8" i="1" s="1"/>
  <c r="I18" i="1"/>
  <c r="J18" i="1" s="1"/>
  <c r="I43" i="1"/>
  <c r="J43" i="1" s="1"/>
  <c r="I39" i="1"/>
  <c r="J39" i="1" s="1"/>
  <c r="I22" i="1"/>
  <c r="J22" i="1" s="1"/>
  <c r="I9" i="1"/>
  <c r="J9" i="1" s="1"/>
  <c r="I11" i="1"/>
  <c r="J11" i="1" s="1"/>
  <c r="I15" i="1"/>
  <c r="J15" i="1" s="1"/>
  <c r="I25" i="1"/>
  <c r="J25" i="1" s="1"/>
  <c r="I51" i="1"/>
  <c r="J51" i="1" s="1"/>
  <c r="I45" i="1"/>
  <c r="J45" i="1" s="1"/>
  <c r="I40" i="1"/>
  <c r="J40" i="1" s="1"/>
  <c r="I44" i="1"/>
  <c r="J44" i="1" s="1"/>
  <c r="I26" i="1"/>
  <c r="J26" i="1" s="1"/>
  <c r="I23" i="1"/>
  <c r="J23" i="1" s="1"/>
  <c r="I17" i="1"/>
  <c r="J17" i="1" s="1"/>
  <c r="I12" i="1"/>
  <c r="J12" i="1" s="1"/>
  <c r="J7" i="1"/>
  <c r="I14" i="1"/>
  <c r="J14" i="1" s="1"/>
  <c r="I50" i="1"/>
  <c r="J50" i="1" s="1"/>
  <c r="I54" i="1"/>
  <c r="J54" i="1" s="1"/>
  <c r="I46" i="1"/>
  <c r="J46" i="1" s="1"/>
  <c r="I56" i="1"/>
  <c r="J56" i="1" s="1"/>
  <c r="I27" i="1"/>
  <c r="J27" i="1" s="1"/>
  <c r="I10" i="1"/>
  <c r="J10" i="1" s="1"/>
  <c r="I20" i="1"/>
  <c r="J20" i="1" s="1"/>
  <c r="J63" i="1" l="1"/>
</calcChain>
</file>

<file path=xl/sharedStrings.xml><?xml version="1.0" encoding="utf-8"?>
<sst xmlns="http://schemas.openxmlformats.org/spreadsheetml/2006/main" count="511" uniqueCount="160">
  <si>
    <t>blue font is for project specific user input</t>
  </si>
  <si>
    <t>Hours travel time @ 55 MPH</t>
  </si>
  <si>
    <t>Equipment</t>
  </si>
  <si>
    <t>Mobilization $/hour (1)</t>
  </si>
  <si>
    <t>$ Flat Rate load &amp; unload (2)</t>
  </si>
  <si>
    <t>Disassembly and assembly (4)</t>
  </si>
  <si>
    <t>Permit cost $ (5)</t>
  </si>
  <si>
    <t>Pilot car costs</t>
  </si>
  <si>
    <t># of units</t>
  </si>
  <si>
    <t>One Way Mob Cost</t>
  </si>
  <si>
    <t>Total Mob and Demob Cost</t>
  </si>
  <si>
    <t>Bulldozers</t>
  </si>
  <si>
    <t>D6R</t>
  </si>
  <si>
    <t>D7R</t>
  </si>
  <si>
    <t>D8R</t>
  </si>
  <si>
    <t>D9R</t>
  </si>
  <si>
    <t>D10R</t>
  </si>
  <si>
    <t>D11R (two transports) (7)</t>
  </si>
  <si>
    <t>Motor Graders</t>
  </si>
  <si>
    <t>14G/H</t>
  </si>
  <si>
    <t>16G/H</t>
  </si>
  <si>
    <t>Track Excavators</t>
  </si>
  <si>
    <t>320C</t>
  </si>
  <si>
    <t>325C</t>
  </si>
  <si>
    <t>345B</t>
  </si>
  <si>
    <t>385BL</t>
  </si>
  <si>
    <t>Scrapers</t>
  </si>
  <si>
    <t>631G</t>
  </si>
  <si>
    <t>637G PP</t>
  </si>
  <si>
    <t>Wheeled Loaders</t>
  </si>
  <si>
    <t>928G</t>
  </si>
  <si>
    <t>966G</t>
  </si>
  <si>
    <t>972G</t>
  </si>
  <si>
    <t>988G</t>
  </si>
  <si>
    <t>992G (two transports) (7)</t>
  </si>
  <si>
    <t>H-120 (fits 325) no charge, mobilize with machine</t>
  </si>
  <si>
    <t>H-160 (fits 345) no charge, mobilize with machine</t>
  </si>
  <si>
    <t>H-180 (fits 365/385) no charge, mobilize with machine</t>
  </si>
  <si>
    <t>Other Equipment</t>
  </si>
  <si>
    <t>420D 4WD Backhoe</t>
  </si>
  <si>
    <t xml:space="preserve">CS563E Vibratory Roller           </t>
  </si>
  <si>
    <t>Light Truck - 1.5 Ton</t>
  </si>
  <si>
    <t>Supervisor's Truck</t>
  </si>
  <si>
    <t>Air Compressor + tools</t>
  </si>
  <si>
    <t>Welding Equipment</t>
  </si>
  <si>
    <t>Heavy Duty Drill Rig</t>
  </si>
  <si>
    <t>Pump (plugging) Drill Rig</t>
  </si>
  <si>
    <t>Concrete Pump</t>
  </si>
  <si>
    <t>Gas Engine Vibrator</t>
  </si>
  <si>
    <t>Generator 5KW</t>
  </si>
  <si>
    <t>HDEP Welder (pipe or liner)</t>
  </si>
  <si>
    <t>5 Ton Crane Truck</t>
  </si>
  <si>
    <t>25 Ton Crane</t>
  </si>
  <si>
    <t>Trucks</t>
  </si>
  <si>
    <t>769D</t>
  </si>
  <si>
    <t>777D (two transports) (8)</t>
  </si>
  <si>
    <t>613E (5,000 gal) Water Wagon</t>
  </si>
  <si>
    <t>621E (8,000 gal) Water Wagon</t>
  </si>
  <si>
    <r>
      <t>Dump Truck (10-12 yd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)</t>
    </r>
  </si>
  <si>
    <t>Miscellaneous</t>
  </si>
  <si>
    <t>Equipment for dry hole abandonment (420D 4WD Backhoe)</t>
  </si>
  <si>
    <t xml:space="preserve">     Pilot car (Light Truck)</t>
  </si>
  <si>
    <t>Truck Tractor + Lowbed Trailer 75 ton</t>
  </si>
  <si>
    <t>Truck Tractor + Flatbed Trailer 40 ton</t>
  </si>
  <si>
    <t>Light Truck + Flatbed Trailer 25 ton</t>
  </si>
  <si>
    <t>Footnotes and explanations of assumptions</t>
  </si>
  <si>
    <t>(1)   The sum of the cost of equipment from either the SRCE or RSM equipment tab plus Davis-Bacon labor tab</t>
  </si>
  <si>
    <t>(2)   Assumes minimum of 30 minutes load and secure and 30 minutes unsecure and unload machine.</t>
  </si>
  <si>
    <t>(3)   No "Deadhead" (empty) charge for Mob up to 50 miles.  More than 50 miles the cost of deadhead same rate as loaded miles.</t>
  </si>
  <si>
    <t>(4)   Only large equipment requires disassembly for transport.  Includes cost of mechanic + mechanic's truck + crane operator + crane.</t>
  </si>
  <si>
    <t>(6)   Sum of mobilization plus all ancillary costs for one way loaded and return empty.</t>
  </si>
  <si>
    <t>(7)   Two transports are required but the second transport does not need pilot cars or permits or a heavy duty trailer.</t>
  </si>
  <si>
    <t>(8)   Two transports required with both requiring full complement of pilot cars and permits.</t>
  </si>
  <si>
    <t>frank</t>
  </si>
  <si>
    <t>Disassembly</t>
  </si>
  <si>
    <t>Assembly</t>
  </si>
  <si>
    <t>Light Truck $ / hour (1)</t>
  </si>
  <si>
    <t># of Pilot cars (2)</t>
  </si>
  <si>
    <t>Deadhead miles (3)</t>
  </si>
  <si>
    <t>$/mile deadhead (3)</t>
  </si>
  <si>
    <t>Total Equipment $</t>
  </si>
  <si>
    <t>Total Labor $</t>
  </si>
  <si>
    <t>TOTAL Equip + Labor</t>
  </si>
  <si>
    <t>Equipment Hourly Rate</t>
  </si>
  <si>
    <t>RSM  Crew No.</t>
  </si>
  <si>
    <t>RSM Bare Cost (equipment) per day</t>
  </si>
  <si>
    <t>RSM Bare Cost (equipment) per hour</t>
  </si>
  <si>
    <t>mobilized with machine</t>
  </si>
  <si>
    <t>self mobilization @ SRCE cost</t>
  </si>
  <si>
    <t>towed behind light truck</t>
  </si>
  <si>
    <t>self mobilization @ RSM cost</t>
  </si>
  <si>
    <t>B-34N</t>
  </si>
  <si>
    <t>B-34K</t>
  </si>
  <si>
    <t>A-3D</t>
  </si>
  <si>
    <t>A-3A</t>
  </si>
  <si>
    <t>Operating weight, tons               (from CPH)                                        or self mob cost basis</t>
  </si>
  <si>
    <t>LABOR DESCRIPTOR</t>
  </si>
  <si>
    <t>Operating Weight, tons</t>
  </si>
  <si>
    <t xml:space="preserve"> Group #</t>
  </si>
  <si>
    <t>Area pay</t>
  </si>
  <si>
    <t>FRINGES</t>
  </si>
  <si>
    <t>BASE WAGE + FRINGES</t>
  </si>
  <si>
    <t>UNEM-PLOY-MENT</t>
  </si>
  <si>
    <t>FICA</t>
  </si>
  <si>
    <t>WORK-MANS COMP. (1)</t>
  </si>
  <si>
    <t>TOTAL</t>
  </si>
  <si>
    <t>with machine</t>
  </si>
  <si>
    <t>Labor 1</t>
  </si>
  <si>
    <t>Total</t>
  </si>
  <si>
    <t>ASSEMBLY AND DISASSEMBLY OF SELECTED EQUIPMENT</t>
  </si>
  <si>
    <t>(2)     Transportation widths from Caterpillar Performance Handbook Ed. 35.</t>
  </si>
  <si>
    <t>(2)     Number of pilot cars required from Nevada DOT:</t>
  </si>
  <si>
    <t>NUMBER OF LANES</t>
  </si>
  <si>
    <t>LOAD WIDTH</t>
  </si>
  <si>
    <t>PILOT CARS REQUIRED</t>
  </si>
  <si>
    <t>12'1" to 14' wide</t>
  </si>
  <si>
    <t>ONE, fore</t>
  </si>
  <si>
    <t>14'1" to 16' wide</t>
  </si>
  <si>
    <t>TWO, 1 fore and 1 aft</t>
  </si>
  <si>
    <t>16'1" to 17' wide</t>
  </si>
  <si>
    <t>THREE, 1 fore, 1 aft and 1 in LEAD</t>
  </si>
  <si>
    <t>ONE, aft</t>
  </si>
  <si>
    <t xml:space="preserve">   (1)     Assume Pilot car is Light Truck @ SRCE cost and Davis Bacon wages for driver at laborer wage rates.</t>
  </si>
  <si>
    <t>Hours of Travel @ 55MPH</t>
  </si>
  <si>
    <t>mob with machine</t>
  </si>
  <si>
    <t xml:space="preserve">     (3)     Average of 5 pilot car contractors charges for deadhead charges.(2007)</t>
  </si>
  <si>
    <t>Driver @ laborer wages $/hr</t>
  </si>
  <si>
    <t>password =</t>
  </si>
  <si>
    <t>Weekly Rental 
Rate</t>
  </si>
  <si>
    <t>01 54 3360 2800</t>
  </si>
  <si>
    <t>01 54 3360 2500</t>
  </si>
  <si>
    <t>http://www.nevadadot.com/business/trucker/overdimensional/#pilot</t>
  </si>
  <si>
    <t>Hydraulic Hammers</t>
  </si>
  <si>
    <t>$/hour Deadhead (empty return cost (3)</t>
  </si>
  <si>
    <t>(5)   Nevada Dept. of Transportation overdimensional permits are $25 per trip or $60 per year.</t>
  </si>
  <si>
    <t>Truck Driver Dump</t>
  </si>
  <si>
    <t>B-34U</t>
  </si>
  <si>
    <t>Miles from Washoe County Courthouse to project, one way</t>
  </si>
  <si>
    <t>(10)   Pilot Car costs based on SRCE light truck costs and Davis-Bacon wages</t>
  </si>
  <si>
    <t>Miles from equipment rental yard to project, one way (9)</t>
  </si>
  <si>
    <t>Additional equipment may need to mobilize from Reno, Las Vegas, or Salt Lake City.  Input the further distance here.</t>
  </si>
  <si>
    <t>Enter Project Name</t>
  </si>
  <si>
    <t>(9)   For large mining operations, mobilization may be required from more than one location.  For example, the Elko yard may not have four 631 scrapers.</t>
  </si>
  <si>
    <t xml:space="preserve">  Assembly and disassembly costs include 20% increase for rental and use of crane.</t>
  </si>
  <si>
    <t>BASE WAGE determination *</t>
  </si>
  <si>
    <t>D11R (two transports)</t>
  </si>
  <si>
    <t>992G (two transports)</t>
  </si>
  <si>
    <t>2024 DAVIS BACON WAGE RATES FOR THE OPERATORS TRANSPORTING HEAVY EQUIPMENT</t>
  </si>
  <si>
    <t>Based on July 2024 quote from Cashman Equipment Company.</t>
  </si>
  <si>
    <t>2024 MOB/DEMOB using R.S. MEANS and SRCE equipment  and DAVIS-BACON wages</t>
  </si>
  <si>
    <t>(11) SRCE costs based on July 2024 vendor quotes.</t>
  </si>
  <si>
    <t>(13)  Davis Bacon wages based on 2024 determination.</t>
  </si>
  <si>
    <t>(12)  RS Means costs based on R.S. Means Heavy Construction Cost Data, 2024 Q2</t>
  </si>
  <si>
    <t>2024 PILOT CAR CALCULATIONS FOR MOVING HEAVY EQUIPMENT</t>
  </si>
  <si>
    <t>SRCE EQUIPMENT RENTAL + OPERATION RATES FROM COST DATA NV 2024</t>
  </si>
  <si>
    <t>R.S. MEANS EQUIPMENT COSTS FROM 2024</t>
  </si>
  <si>
    <t>Loader</t>
  </si>
  <si>
    <t>Grader</t>
  </si>
  <si>
    <t>Backhoe</t>
  </si>
  <si>
    <t>* SUNV2014-014 (9/8/2016), ENGI0003-051 (7/1/2023), ENGI0003-045 (7/1/2023), ENGI0003-040 (7/1/2023), LABO0169-011 (10/1/2023)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</si>
</sst>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_(&quot;$&quot;* #,##0_);_(&quot;$&quot;* \(#,##0\);_(&quot;$&quot;* &quot;-&quot;??_);_(@_)"/>
  </numFmts>
  <fonts count="3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7"/>
      <name val="Arial"/>
      <family val="2"/>
    </font>
    <font>
      <sz val="10"/>
      <name val="Arial MT"/>
    </font>
    <font>
      <sz val="12"/>
      <name val="Arial"/>
      <family val="2"/>
    </font>
    <font>
      <sz val="10"/>
      <color indexed="8"/>
      <name val="Verdana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1"/>
      <color indexed="48"/>
      <name val="Calibri"/>
      <family val="2"/>
    </font>
    <font>
      <b/>
      <sz val="10"/>
      <color indexed="8"/>
      <name val="Arial"/>
      <family val="2"/>
    </font>
    <font>
      <b/>
      <sz val="11"/>
      <color indexed="48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Arial MT"/>
    </font>
    <font>
      <sz val="11"/>
      <color indexed="8"/>
      <name val="Calibri"/>
      <family val="2"/>
    </font>
    <font>
      <sz val="9"/>
      <name val="Arial"/>
      <family val="2"/>
    </font>
    <font>
      <b/>
      <sz val="13"/>
      <color theme="3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gray0625">
        <bgColor indexed="31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4" fontId="17" fillId="0" borderId="0" applyFont="0" applyFill="0" applyBorder="0" applyAlignment="0" applyProtection="0"/>
    <xf numFmtId="0" fontId="33" fillId="0" borderId="57" applyNumberFormat="0" applyFill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6" fillId="2" borderId="0" applyBorder="0">
      <alignment horizontal="center"/>
      <protection locked="0"/>
    </xf>
    <xf numFmtId="0" fontId="13" fillId="3" borderId="0" applyNumberFormat="0" applyBorder="0"/>
  </cellStyleXfs>
  <cellXfs count="299">
    <xf numFmtId="0" fontId="0" fillId="0" borderId="0" xfId="0"/>
    <xf numFmtId="0" fontId="4" fillId="0" borderId="1" xfId="0" applyFont="1" applyBorder="1" applyAlignment="1">
      <alignment horizontal="left" indent="1"/>
    </xf>
    <xf numFmtId="164" fontId="4" fillId="0" borderId="0" xfId="0" applyNumberFormat="1" applyFont="1" applyAlignment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indent="1"/>
    </xf>
    <xf numFmtId="0" fontId="4" fillId="0" borderId="4" xfId="0" applyFont="1" applyBorder="1" applyAlignment="1">
      <alignment horizontal="left" indent="1"/>
    </xf>
    <xf numFmtId="0" fontId="4" fillId="0" borderId="6" xfId="0" applyFont="1" applyBorder="1" applyAlignment="1">
      <alignment horizontal="left" indent="1"/>
    </xf>
    <xf numFmtId="0" fontId="4" fillId="0" borderId="7" xfId="0" applyFont="1" applyBorder="1" applyAlignment="1">
      <alignment horizontal="left" indent="1"/>
    </xf>
    <xf numFmtId="0" fontId="4" fillId="0" borderId="8" xfId="0" applyFont="1" applyBorder="1" applyAlignment="1">
      <alignment horizontal="left" indent="1"/>
    </xf>
    <xf numFmtId="0" fontId="4" fillId="0" borderId="9" xfId="0" applyFont="1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4" fillId="0" borderId="11" xfId="0" applyFont="1" applyBorder="1" applyAlignment="1">
      <alignment horizontal="left" indent="1"/>
    </xf>
    <xf numFmtId="0" fontId="4" fillId="0" borderId="13" xfId="4" applyFont="1" applyFill="1" applyBorder="1" applyAlignment="1" applyProtection="1">
      <alignment horizontal="left" indent="1"/>
    </xf>
    <xf numFmtId="0" fontId="5" fillId="5" borderId="14" xfId="2" applyFont="1" applyFill="1" applyBorder="1" applyAlignment="1" applyProtection="1"/>
    <xf numFmtId="0" fontId="2" fillId="5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18" fillId="0" borderId="0" xfId="0" applyFont="1"/>
    <xf numFmtId="0" fontId="5" fillId="0" borderId="0" xfId="0" applyFont="1" applyAlignment="1" applyProtection="1">
      <alignment horizontal="center" vertical="center" wrapText="1"/>
      <protection hidden="1"/>
    </xf>
    <xf numFmtId="164" fontId="0" fillId="0" borderId="0" xfId="0" applyNumberFormat="1"/>
    <xf numFmtId="0" fontId="22" fillId="0" borderId="0" xfId="0" applyFont="1"/>
    <xf numFmtId="165" fontId="17" fillId="0" borderId="0" xfId="1" applyNumberFormat="1" applyFont="1"/>
    <xf numFmtId="0" fontId="0" fillId="6" borderId="2" xfId="0" applyFill="1" applyBorder="1"/>
    <xf numFmtId="0" fontId="15" fillId="6" borderId="2" xfId="0" applyFont="1" applyFill="1" applyBorder="1" applyAlignment="1">
      <alignment horizontal="center" vertical="top" wrapText="1"/>
    </xf>
    <xf numFmtId="0" fontId="15" fillId="6" borderId="2" xfId="0" applyFont="1" applyFill="1" applyBorder="1" applyAlignment="1">
      <alignment horizontal="left" vertical="top" wrapText="1"/>
    </xf>
    <xf numFmtId="17" fontId="5" fillId="0" borderId="0" xfId="0" applyNumberFormat="1" applyFont="1" applyAlignment="1" applyProtection="1">
      <alignment horizontal="center" vertical="center" wrapText="1"/>
      <protection hidden="1"/>
    </xf>
    <xf numFmtId="7" fontId="13" fillId="0" borderId="0" xfId="5" applyNumberFormat="1" applyFill="1" applyBorder="1"/>
    <xf numFmtId="0" fontId="4" fillId="0" borderId="0" xfId="0" applyFont="1" applyAlignment="1" applyProtection="1">
      <alignment horizontal="right"/>
      <protection hidden="1"/>
    </xf>
    <xf numFmtId="0" fontId="14" fillId="0" borderId="0" xfId="2" applyFont="1" applyFill="1" applyBorder="1" applyAlignment="1" applyProtection="1">
      <protection hidden="1"/>
    </xf>
    <xf numFmtId="0" fontId="14" fillId="0" borderId="0" xfId="2" applyFont="1" applyFill="1" applyBorder="1" applyAlignment="1" applyProtection="1">
      <alignment horizontal="right"/>
      <protection hidden="1"/>
    </xf>
    <xf numFmtId="44" fontId="13" fillId="0" borderId="0" xfId="5" applyNumberFormat="1" applyFill="1" applyBorder="1"/>
    <xf numFmtId="0" fontId="5" fillId="0" borderId="0" xfId="2" applyFont="1" applyFill="1" applyBorder="1" applyAlignment="1" applyProtection="1">
      <protection hidden="1"/>
    </xf>
    <xf numFmtId="0" fontId="0" fillId="0" borderId="0" xfId="0" applyAlignment="1" applyProtection="1">
      <alignment horizontal="right"/>
      <protection hidden="1"/>
    </xf>
    <xf numFmtId="5" fontId="13" fillId="0" borderId="0" xfId="5" applyNumberFormat="1" applyFill="1" applyBorder="1"/>
    <xf numFmtId="7" fontId="13" fillId="0" borderId="0" xfId="5" applyNumberFormat="1" applyFill="1" applyBorder="1" applyAlignment="1">
      <alignment horizontal="right"/>
    </xf>
    <xf numFmtId="0" fontId="4" fillId="0" borderId="0" xfId="0" applyFont="1" applyAlignment="1" applyProtection="1">
      <alignment horizontal="center" wrapText="1"/>
      <protection hidden="1"/>
    </xf>
    <xf numFmtId="0" fontId="4" fillId="0" borderId="0" xfId="4" applyFont="1" applyFill="1" applyBorder="1" applyAlignment="1" applyProtection="1">
      <alignment horizontal="center" wrapText="1"/>
      <protection hidden="1"/>
    </xf>
    <xf numFmtId="0" fontId="5" fillId="5" borderId="15" xfId="2" applyFont="1" applyFill="1" applyBorder="1" applyAlignment="1" applyProtection="1"/>
    <xf numFmtId="0" fontId="4" fillId="0" borderId="13" xfId="0" applyFont="1" applyBorder="1" applyAlignment="1">
      <alignment horizontal="left" indent="1"/>
    </xf>
    <xf numFmtId="164" fontId="4" fillId="0" borderId="0" xfId="0" applyNumberFormat="1" applyFont="1" applyAlignment="1">
      <alignment horizontal="right" wrapText="1"/>
    </xf>
    <xf numFmtId="164" fontId="23" fillId="0" borderId="0" xfId="0" applyNumberFormat="1" applyFont="1" applyAlignment="1">
      <alignment horizontal="right"/>
    </xf>
    <xf numFmtId="0" fontId="23" fillId="0" borderId="0" xfId="0" applyFont="1" applyAlignment="1">
      <alignment horizontal="right"/>
    </xf>
    <xf numFmtId="0" fontId="23" fillId="0" borderId="0" xfId="0" applyFont="1"/>
    <xf numFmtId="0" fontId="23" fillId="0" borderId="0" xfId="0" applyFont="1" applyAlignment="1">
      <alignment wrapText="1"/>
    </xf>
    <xf numFmtId="0" fontId="4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6" fillId="5" borderId="14" xfId="2" applyFont="1" applyFill="1" applyBorder="1" applyAlignment="1" applyProtection="1">
      <alignment wrapText="1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23" fillId="0" borderId="3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4" fillId="0" borderId="13" xfId="4" applyFont="1" applyFill="1" applyBorder="1" applyAlignment="1" applyProtection="1">
      <alignment horizontal="left" wrapText="1"/>
    </xf>
    <xf numFmtId="0" fontId="2" fillId="5" borderId="0" xfId="0" applyFont="1" applyFill="1" applyAlignment="1">
      <alignment horizontal="center" vertical="center" wrapText="1"/>
    </xf>
    <xf numFmtId="0" fontId="5" fillId="5" borderId="14" xfId="2" applyFont="1" applyFill="1" applyBorder="1" applyAlignment="1" applyProtection="1">
      <alignment wrapText="1"/>
    </xf>
    <xf numFmtId="0" fontId="0" fillId="0" borderId="0" xfId="0" applyAlignment="1">
      <alignment wrapText="1"/>
    </xf>
    <xf numFmtId="4" fontId="4" fillId="0" borderId="2" xfId="0" applyNumberFormat="1" applyFont="1" applyBorder="1" applyAlignment="1">
      <alignment horizontal="center" wrapText="1"/>
    </xf>
    <xf numFmtId="9" fontId="4" fillId="0" borderId="2" xfId="0" applyNumberFormat="1" applyFont="1" applyBorder="1" applyAlignment="1">
      <alignment horizontal="center" wrapText="1"/>
    </xf>
    <xf numFmtId="0" fontId="4" fillId="0" borderId="19" xfId="0" applyFont="1" applyBorder="1" applyAlignment="1">
      <alignment horizontal="left" wrapText="1"/>
    </xf>
    <xf numFmtId="0" fontId="4" fillId="0" borderId="20" xfId="0" applyFont="1" applyBorder="1" applyAlignment="1">
      <alignment horizontal="left" wrapText="1"/>
    </xf>
    <xf numFmtId="0" fontId="4" fillId="0" borderId="21" xfId="0" applyFont="1" applyBorder="1" applyAlignment="1">
      <alignment horizontal="left" wrapText="1"/>
    </xf>
    <xf numFmtId="0" fontId="4" fillId="5" borderId="22" xfId="0" applyFont="1" applyFill="1" applyBorder="1" applyAlignment="1">
      <alignment horizontal="center" wrapText="1"/>
    </xf>
    <xf numFmtId="0" fontId="23" fillId="5" borderId="22" xfId="0" applyFont="1" applyFill="1" applyBorder="1"/>
    <xf numFmtId="0" fontId="23" fillId="5" borderId="22" xfId="0" applyFont="1" applyFill="1" applyBorder="1" applyAlignment="1">
      <alignment horizontal="right"/>
    </xf>
    <xf numFmtId="0" fontId="6" fillId="5" borderId="22" xfId="2" applyFont="1" applyFill="1" applyBorder="1" applyAlignment="1" applyProtection="1">
      <alignment horizontal="center" wrapText="1"/>
      <protection hidden="1"/>
    </xf>
    <xf numFmtId="0" fontId="6" fillId="5" borderId="22" xfId="0" applyFont="1" applyFill="1" applyBorder="1" applyAlignment="1">
      <alignment horizontal="center"/>
    </xf>
    <xf numFmtId="164" fontId="0" fillId="5" borderId="22" xfId="0" applyNumberFormat="1" applyFill="1" applyBorder="1"/>
    <xf numFmtId="0" fontId="4" fillId="5" borderId="22" xfId="0" applyFon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4" fillId="5" borderId="22" xfId="0" applyFont="1" applyFill="1" applyBorder="1"/>
    <xf numFmtId="7" fontId="4" fillId="0" borderId="0" xfId="5" applyNumberFormat="1" applyFont="1" applyFill="1" applyBorder="1"/>
    <xf numFmtId="7" fontId="4" fillId="0" borderId="23" xfId="5" applyNumberFormat="1" applyFont="1" applyFill="1" applyBorder="1" applyProtection="1">
      <protection hidden="1"/>
    </xf>
    <xf numFmtId="7" fontId="4" fillId="0" borderId="0" xfId="5" applyNumberFormat="1" applyFont="1" applyFill="1" applyBorder="1" applyProtection="1">
      <protection hidden="1"/>
    </xf>
    <xf numFmtId="5" fontId="30" fillId="0" borderId="2" xfId="5" applyNumberFormat="1" applyFont="1" applyFill="1" applyBorder="1"/>
    <xf numFmtId="0" fontId="31" fillId="0" borderId="2" xfId="0" applyFont="1" applyBorder="1"/>
    <xf numFmtId="44" fontId="0" fillId="0" borderId="0" xfId="0" applyNumberFormat="1"/>
    <xf numFmtId="0" fontId="6" fillId="0" borderId="2" xfId="0" applyFont="1" applyBorder="1" applyAlignment="1">
      <alignment horizontal="center" wrapText="1"/>
    </xf>
    <xf numFmtId="164" fontId="6" fillId="0" borderId="2" xfId="0" applyNumberFormat="1" applyFont="1" applyBorder="1" applyAlignment="1">
      <alignment horizontal="center" wrapText="1"/>
    </xf>
    <xf numFmtId="164" fontId="6" fillId="0" borderId="38" xfId="0" applyNumberFormat="1" applyFont="1" applyBorder="1" applyAlignment="1">
      <alignment horizontal="center" wrapText="1"/>
    </xf>
    <xf numFmtId="164" fontId="0" fillId="5" borderId="39" xfId="0" applyNumberFormat="1" applyFill="1" applyBorder="1"/>
    <xf numFmtId="0" fontId="4" fillId="0" borderId="0" xfId="0" applyFont="1" applyAlignment="1">
      <alignment horizontal="center"/>
    </xf>
    <xf numFmtId="164" fontId="0" fillId="0" borderId="40" xfId="0" applyNumberFormat="1" applyBorder="1"/>
    <xf numFmtId="0" fontId="4" fillId="0" borderId="0" xfId="0" applyFont="1"/>
    <xf numFmtId="0" fontId="4" fillId="0" borderId="1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3" xfId="4" applyFont="1" applyFill="1" applyBorder="1" applyAlignment="1" applyProtection="1">
      <alignment horizontal="left" wrapText="1"/>
    </xf>
    <xf numFmtId="0" fontId="4" fillId="0" borderId="28" xfId="4" applyFont="1" applyFill="1" applyBorder="1" applyAlignment="1" applyProtection="1">
      <alignment horizontal="center" wrapText="1"/>
      <protection hidden="1"/>
    </xf>
    <xf numFmtId="0" fontId="4" fillId="0" borderId="28" xfId="0" applyFont="1" applyBorder="1" applyAlignment="1">
      <alignment horizontal="center"/>
    </xf>
    <xf numFmtId="164" fontId="0" fillId="0" borderId="41" xfId="0" applyNumberFormat="1" applyBorder="1"/>
    <xf numFmtId="0" fontId="23" fillId="0" borderId="42" xfId="0" applyFont="1" applyBorder="1" applyAlignment="1">
      <alignment wrapText="1"/>
    </xf>
    <xf numFmtId="0" fontId="23" fillId="0" borderId="43" xfId="0" applyFont="1" applyBorder="1" applyAlignment="1">
      <alignment wrapText="1"/>
    </xf>
    <xf numFmtId="0" fontId="23" fillId="0" borderId="43" xfId="0" applyFont="1" applyBorder="1"/>
    <xf numFmtId="164" fontId="23" fillId="0" borderId="43" xfId="0" applyNumberFormat="1" applyFont="1" applyBorder="1" applyAlignment="1">
      <alignment horizontal="right"/>
    </xf>
    <xf numFmtId="0" fontId="23" fillId="0" borderId="43" xfId="0" applyFont="1" applyBorder="1" applyAlignment="1">
      <alignment horizontal="right"/>
    </xf>
    <xf numFmtId="0" fontId="23" fillId="0" borderId="44" xfId="0" applyFont="1" applyBorder="1" applyAlignment="1">
      <alignment horizontal="right"/>
    </xf>
    <xf numFmtId="0" fontId="23" fillId="0" borderId="12" xfId="0" applyFont="1" applyBorder="1" applyAlignment="1">
      <alignment wrapText="1"/>
    </xf>
    <xf numFmtId="0" fontId="23" fillId="0" borderId="40" xfId="0" applyFont="1" applyBorder="1" applyAlignment="1">
      <alignment horizontal="right"/>
    </xf>
    <xf numFmtId="0" fontId="25" fillId="5" borderId="15" xfId="0" applyFont="1" applyFill="1" applyBorder="1" applyAlignment="1">
      <alignment wrapText="1"/>
    </xf>
    <xf numFmtId="164" fontId="23" fillId="0" borderId="40" xfId="0" applyNumberFormat="1" applyFont="1" applyBorder="1" applyAlignment="1">
      <alignment horizontal="right"/>
    </xf>
    <xf numFmtId="0" fontId="23" fillId="5" borderId="39" xfId="0" applyFont="1" applyFill="1" applyBorder="1" applyAlignment="1">
      <alignment horizontal="right"/>
    </xf>
    <xf numFmtId="0" fontId="4" fillId="0" borderId="28" xfId="0" applyFont="1" applyBorder="1" applyAlignment="1" applyProtection="1">
      <alignment horizontal="center" wrapText="1"/>
      <protection hidden="1"/>
    </xf>
    <xf numFmtId="164" fontId="4" fillId="0" borderId="28" xfId="0" applyNumberFormat="1" applyFont="1" applyBorder="1" applyAlignment="1">
      <alignment horizontal="right" wrapText="1"/>
    </xf>
    <xf numFmtId="164" fontId="23" fillId="0" borderId="28" xfId="0" applyNumberFormat="1" applyFont="1" applyBorder="1" applyAlignment="1">
      <alignment horizontal="right"/>
    </xf>
    <xf numFmtId="164" fontId="23" fillId="0" borderId="41" xfId="0" applyNumberFormat="1" applyFont="1" applyBorder="1" applyAlignment="1">
      <alignment horizontal="right"/>
    </xf>
    <xf numFmtId="9" fontId="4" fillId="0" borderId="2" xfId="0" applyNumberFormat="1" applyFont="1" applyBorder="1" applyAlignment="1">
      <alignment horizontal="right" wrapText="1"/>
    </xf>
    <xf numFmtId="0" fontId="20" fillId="0" borderId="12" xfId="0" applyFont="1" applyBorder="1" applyAlignment="1">
      <alignment horizontal="center"/>
    </xf>
    <xf numFmtId="0" fontId="0" fillId="0" borderId="12" xfId="0" applyBorder="1"/>
    <xf numFmtId="165" fontId="17" fillId="0" borderId="0" xfId="1" applyNumberFormat="1" applyFont="1" applyBorder="1" applyAlignment="1">
      <alignment horizontal="center" textRotation="90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 wrapText="1"/>
    </xf>
    <xf numFmtId="0" fontId="0" fillId="0" borderId="40" xfId="0" applyBorder="1" applyAlignment="1">
      <alignment horizontal="center" wrapText="1"/>
    </xf>
    <xf numFmtId="165" fontId="17" fillId="5" borderId="0" xfId="1" applyNumberFormat="1" applyFont="1" applyFill="1" applyBorder="1"/>
    <xf numFmtId="0" fontId="0" fillId="5" borderId="0" xfId="0" applyFill="1"/>
    <xf numFmtId="0" fontId="0" fillId="5" borderId="40" xfId="0" applyFill="1" applyBorder="1"/>
    <xf numFmtId="165" fontId="4" fillId="0" borderId="0" xfId="1" applyNumberFormat="1" applyFont="1" applyBorder="1" applyAlignment="1" applyProtection="1">
      <alignment horizontal="center" vertical="center" wrapText="1"/>
    </xf>
    <xf numFmtId="165" fontId="17" fillId="0" borderId="0" xfId="1" applyNumberFormat="1" applyFont="1" applyBorder="1" applyProtection="1"/>
    <xf numFmtId="165" fontId="3" fillId="0" borderId="0" xfId="1" applyNumberFormat="1" applyFont="1" applyBorder="1" applyAlignment="1" applyProtection="1">
      <alignment horizontal="center" vertical="center" wrapText="1"/>
    </xf>
    <xf numFmtId="165" fontId="3" fillId="0" borderId="40" xfId="1" applyNumberFormat="1" applyFont="1" applyBorder="1" applyAlignment="1" applyProtection="1">
      <alignment horizontal="center" vertical="center" wrapText="1"/>
    </xf>
    <xf numFmtId="165" fontId="3" fillId="0" borderId="0" xfId="1" applyNumberFormat="1" applyFont="1" applyFill="1" applyBorder="1" applyAlignment="1" applyProtection="1">
      <alignment horizontal="center" vertical="center" wrapText="1"/>
    </xf>
    <xf numFmtId="165" fontId="4" fillId="5" borderId="0" xfId="1" applyNumberFormat="1" applyFont="1" applyFill="1" applyBorder="1" applyAlignment="1" applyProtection="1">
      <alignment horizontal="center" vertical="center" wrapText="1"/>
    </xf>
    <xf numFmtId="165" fontId="3" fillId="5" borderId="0" xfId="1" applyNumberFormat="1" applyFont="1" applyFill="1" applyBorder="1" applyAlignment="1" applyProtection="1">
      <alignment horizontal="center" vertical="center" wrapText="1"/>
    </xf>
    <xf numFmtId="165" fontId="3" fillId="5" borderId="40" xfId="1" applyNumberFormat="1" applyFont="1" applyFill="1" applyBorder="1" applyAlignment="1" applyProtection="1">
      <alignment horizontal="center" vertical="center" wrapText="1"/>
    </xf>
    <xf numFmtId="165" fontId="4" fillId="5" borderId="0" xfId="1" applyNumberFormat="1" applyFont="1" applyFill="1" applyBorder="1" applyAlignment="1" applyProtection="1">
      <alignment horizontal="right" vertical="center" wrapText="1"/>
    </xf>
    <xf numFmtId="164" fontId="3" fillId="5" borderId="0" xfId="0" applyNumberFormat="1" applyFont="1" applyFill="1" applyAlignment="1">
      <alignment horizontal="center" vertical="center" wrapText="1"/>
    </xf>
    <xf numFmtId="0" fontId="4" fillId="0" borderId="3" xfId="0" applyFont="1" applyBorder="1"/>
    <xf numFmtId="0" fontId="4" fillId="0" borderId="3" xfId="4" applyFont="1" applyFill="1" applyBorder="1" applyAlignment="1" applyProtection="1">
      <alignment horizontal="left" indent="1"/>
    </xf>
    <xf numFmtId="165" fontId="3" fillId="0" borderId="45" xfId="1" applyNumberFormat="1" applyFont="1" applyBorder="1" applyAlignment="1" applyProtection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165" fontId="4" fillId="0" borderId="0" xfId="1" applyNumberFormat="1" applyFont="1" applyBorder="1" applyAlignment="1" applyProtection="1">
      <alignment horizontal="right" vertical="center" wrapText="1"/>
    </xf>
    <xf numFmtId="165" fontId="8" fillId="0" borderId="0" xfId="1" applyNumberFormat="1" applyFont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5" fontId="10" fillId="0" borderId="0" xfId="1" applyNumberFormat="1" applyFont="1" applyBorder="1" applyAlignment="1" applyProtection="1">
      <alignment horizontal="center" vertical="center" wrapText="1"/>
    </xf>
    <xf numFmtId="165" fontId="9" fillId="0" borderId="40" xfId="1" applyNumberFormat="1" applyFont="1" applyBorder="1" applyAlignment="1" applyProtection="1">
      <alignment horizontal="center" vertical="center" wrapText="1"/>
    </xf>
    <xf numFmtId="165" fontId="6" fillId="0" borderId="0" xfId="1" applyNumberFormat="1" applyFont="1" applyBorder="1" applyAlignment="1" applyProtection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/>
    </xf>
    <xf numFmtId="165" fontId="6" fillId="0" borderId="0" xfId="1" applyNumberFormat="1" applyFont="1" applyBorder="1" applyAlignment="1">
      <alignment horizontal="center" vertical="center" wrapText="1"/>
    </xf>
    <xf numFmtId="165" fontId="10" fillId="0" borderId="0" xfId="1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left" vertical="center"/>
    </xf>
    <xf numFmtId="49" fontId="4" fillId="0" borderId="12" xfId="0" applyNumberFormat="1" applyFont="1" applyBorder="1"/>
    <xf numFmtId="165" fontId="4" fillId="0" borderId="0" xfId="1" applyNumberFormat="1" applyFont="1" applyBorder="1" applyAlignment="1">
      <alignment horizontal="center" vertical="center" wrapText="1"/>
    </xf>
    <xf numFmtId="165" fontId="4" fillId="0" borderId="0" xfId="1" applyNumberFormat="1" applyFont="1" applyBorder="1"/>
    <xf numFmtId="165" fontId="12" fillId="0" borderId="0" xfId="1" applyNumberFormat="1" applyFont="1" applyBorder="1"/>
    <xf numFmtId="165" fontId="8" fillId="0" borderId="0" xfId="1" applyNumberFormat="1" applyFont="1" applyBorder="1"/>
    <xf numFmtId="1" fontId="2" fillId="0" borderId="0" xfId="0" applyNumberFormat="1" applyFont="1" applyProtection="1">
      <protection locked="0"/>
    </xf>
    <xf numFmtId="164" fontId="8" fillId="0" borderId="0" xfId="0" applyNumberFormat="1" applyFont="1"/>
    <xf numFmtId="164" fontId="8" fillId="0" borderId="40" xfId="0" applyNumberFormat="1" applyFont="1" applyBorder="1"/>
    <xf numFmtId="49" fontId="4" fillId="0" borderId="15" xfId="0" applyNumberFormat="1" applyFont="1" applyBorder="1" applyAlignment="1">
      <alignment horizontal="left" vertical="center"/>
    </xf>
    <xf numFmtId="165" fontId="6" fillId="0" borderId="28" xfId="1" applyNumberFormat="1" applyFont="1" applyFill="1" applyBorder="1" applyAlignment="1">
      <alignment horizontal="center" vertical="center" wrapText="1"/>
    </xf>
    <xf numFmtId="0" fontId="21" fillId="5" borderId="15" xfId="0" applyFont="1" applyFill="1" applyBorder="1"/>
    <xf numFmtId="165" fontId="1" fillId="0" borderId="0" xfId="1" applyNumberFormat="1" applyFont="1" applyBorder="1" applyAlignment="1">
      <alignment horizontal="center" textRotation="90" wrapText="1"/>
    </xf>
    <xf numFmtId="0" fontId="0" fillId="0" borderId="44" xfId="0" applyBorder="1"/>
    <xf numFmtId="0" fontId="0" fillId="0" borderId="40" xfId="0" applyBorder="1"/>
    <xf numFmtId="0" fontId="6" fillId="5" borderId="14" xfId="0" applyFont="1" applyFill="1" applyBorder="1"/>
    <xf numFmtId="0" fontId="4" fillId="0" borderId="1" xfId="0" applyFont="1" applyBorder="1"/>
    <xf numFmtId="0" fontId="0" fillId="0" borderId="41" xfId="0" applyBorder="1"/>
    <xf numFmtId="0" fontId="9" fillId="0" borderId="2" xfId="0" applyFont="1" applyBorder="1" applyAlignment="1">
      <alignment horizontal="center" wrapText="1"/>
    </xf>
    <xf numFmtId="0" fontId="0" fillId="0" borderId="42" xfId="0" applyBorder="1"/>
    <xf numFmtId="0" fontId="0" fillId="0" borderId="43" xfId="0" applyBorder="1"/>
    <xf numFmtId="0" fontId="9" fillId="0" borderId="38" xfId="0" applyFont="1" applyBorder="1" applyAlignment="1">
      <alignment horizontal="center" wrapText="1"/>
    </xf>
    <xf numFmtId="4" fontId="4" fillId="5" borderId="0" xfId="0" applyNumberFormat="1" applyFont="1" applyFill="1" applyAlignment="1">
      <alignment horizontal="center" vertical="center" wrapText="1"/>
    </xf>
    <xf numFmtId="4" fontId="3" fillId="5" borderId="40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3" fillId="0" borderId="40" xfId="0" applyNumberFormat="1" applyFont="1" applyBorder="1" applyAlignment="1">
      <alignment horizontal="center" vertical="center" wrapText="1"/>
    </xf>
    <xf numFmtId="164" fontId="4" fillId="5" borderId="0" xfId="0" applyNumberFormat="1" applyFont="1" applyFill="1" applyAlignment="1">
      <alignment horizontal="center" vertical="center" wrapText="1"/>
    </xf>
    <xf numFmtId="1" fontId="4" fillId="5" borderId="0" xfId="0" applyNumberFormat="1" applyFont="1" applyFill="1" applyAlignment="1">
      <alignment horizontal="center" vertical="center" wrapText="1"/>
    </xf>
    <xf numFmtId="2" fontId="4" fillId="5" borderId="0" xfId="0" applyNumberFormat="1" applyFont="1" applyFill="1" applyAlignment="1">
      <alignment horizontal="center" vertical="center" wrapText="1"/>
    </xf>
    <xf numFmtId="164" fontId="3" fillId="5" borderId="40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2" fontId="4" fillId="0" borderId="0" xfId="0" applyNumberFormat="1" applyFont="1" applyAlignment="1">
      <alignment horizontal="center" wrapText="1"/>
    </xf>
    <xf numFmtId="164" fontId="3" fillId="0" borderId="40" xfId="0" applyNumberFormat="1" applyFont="1" applyBorder="1" applyAlignment="1">
      <alignment horizontal="center" wrapText="1"/>
    </xf>
    <xf numFmtId="0" fontId="4" fillId="0" borderId="12" xfId="4" applyFont="1" applyFill="1" applyBorder="1" applyAlignment="1" applyProtection="1">
      <alignment horizontal="left" indent="1"/>
    </xf>
    <xf numFmtId="0" fontId="34" fillId="6" borderId="3" xfId="3" applyFill="1" applyBorder="1" applyAlignment="1" applyProtection="1"/>
    <xf numFmtId="0" fontId="4" fillId="6" borderId="3" xfId="0" applyFont="1" applyFill="1" applyBorder="1" applyAlignment="1">
      <alignment horizontal="center"/>
    </xf>
    <xf numFmtId="0" fontId="15" fillId="6" borderId="3" xfId="0" applyFont="1" applyFill="1" applyBorder="1" applyAlignment="1">
      <alignment horizontal="center" vertical="top" wrapText="1"/>
    </xf>
    <xf numFmtId="0" fontId="0" fillId="0" borderId="15" xfId="0" applyBorder="1"/>
    <xf numFmtId="0" fontId="0" fillId="0" borderId="28" xfId="0" applyBorder="1"/>
    <xf numFmtId="0" fontId="5" fillId="7" borderId="14" xfId="2" applyFont="1" applyFill="1" applyBorder="1" applyAlignment="1" applyProtection="1"/>
    <xf numFmtId="0" fontId="5" fillId="7" borderId="15" xfId="2" applyFont="1" applyFill="1" applyBorder="1" applyAlignment="1" applyProtection="1"/>
    <xf numFmtId="0" fontId="31" fillId="0" borderId="48" xfId="0" applyFont="1" applyBorder="1"/>
    <xf numFmtId="0" fontId="6" fillId="0" borderId="13" xfId="0" applyFont="1" applyBorder="1" applyAlignment="1">
      <alignment horizontal="center" wrapText="1"/>
    </xf>
    <xf numFmtId="0" fontId="21" fillId="5" borderId="14" xfId="0" applyFont="1" applyFill="1" applyBorder="1" applyAlignment="1">
      <alignment wrapText="1"/>
    </xf>
    <xf numFmtId="0" fontId="4" fillId="0" borderId="13" xfId="0" applyFont="1" applyBorder="1" applyAlignment="1">
      <alignment horizontal="left" wrapText="1"/>
    </xf>
    <xf numFmtId="0" fontId="4" fillId="0" borderId="17" xfId="0" applyFont="1" applyBorder="1" applyAlignment="1">
      <alignment horizontal="left" wrapText="1"/>
    </xf>
    <xf numFmtId="0" fontId="6" fillId="5" borderId="14" xfId="0" applyFont="1" applyFill="1" applyBorder="1" applyAlignment="1">
      <alignment wrapText="1"/>
    </xf>
    <xf numFmtId="164" fontId="23" fillId="5" borderId="22" xfId="0" applyNumberFormat="1" applyFont="1" applyFill="1" applyBorder="1" applyAlignment="1">
      <alignment horizontal="right"/>
    </xf>
    <xf numFmtId="0" fontId="0" fillId="0" borderId="15" xfId="0" applyBorder="1" applyAlignment="1">
      <alignment horizontal="center"/>
    </xf>
    <xf numFmtId="0" fontId="9" fillId="0" borderId="13" xfId="0" applyFont="1" applyBorder="1" applyAlignment="1">
      <alignment horizontal="center" wrapText="1"/>
    </xf>
    <xf numFmtId="0" fontId="3" fillId="0" borderId="0" xfId="0" applyFont="1"/>
    <xf numFmtId="0" fontId="23" fillId="0" borderId="28" xfId="0" applyFont="1" applyBorder="1"/>
    <xf numFmtId="164" fontId="3" fillId="0" borderId="0" xfId="0" applyNumberFormat="1" applyFont="1" applyAlignment="1">
      <alignment horizontal="right"/>
    </xf>
    <xf numFmtId="164" fontId="3" fillId="0" borderId="28" xfId="0" applyNumberFormat="1" applyFont="1" applyBorder="1" applyAlignment="1">
      <alignment horizontal="right"/>
    </xf>
    <xf numFmtId="165" fontId="4" fillId="0" borderId="0" xfId="1" applyNumberFormat="1" applyFont="1" applyFill="1" applyBorder="1"/>
    <xf numFmtId="165" fontId="8" fillId="0" borderId="0" xfId="1" applyNumberFormat="1" applyFont="1" applyFill="1" applyBorder="1"/>
    <xf numFmtId="165" fontId="6" fillId="0" borderId="0" xfId="1" applyNumberFormat="1" applyFont="1" applyFill="1" applyBorder="1" applyAlignment="1">
      <alignment horizontal="center" vertical="center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5" fontId="10" fillId="0" borderId="28" xfId="1" applyNumberFormat="1" applyFont="1" applyFill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left" indent="3"/>
    </xf>
    <xf numFmtId="1" fontId="24" fillId="4" borderId="58" xfId="0" applyNumberFormat="1" applyFont="1" applyFill="1" applyBorder="1" applyProtection="1">
      <protection locked="0"/>
    </xf>
    <xf numFmtId="2" fontId="19" fillId="0" borderId="58" xfId="0" applyNumberFormat="1" applyFont="1" applyBorder="1"/>
    <xf numFmtId="0" fontId="32" fillId="0" borderId="0" xfId="0" applyFont="1" applyAlignment="1">
      <alignment horizontal="center"/>
    </xf>
    <xf numFmtId="10" fontId="4" fillId="0" borderId="2" xfId="0" applyNumberFormat="1" applyFont="1" applyBorder="1" applyAlignment="1">
      <alignment horizontal="right" wrapText="1"/>
    </xf>
    <xf numFmtId="164" fontId="0" fillId="0" borderId="43" xfId="0" applyNumberFormat="1" applyBorder="1" applyAlignment="1">
      <alignment horizontal="center"/>
    </xf>
    <xf numFmtId="0" fontId="21" fillId="0" borderId="15" xfId="0" applyFont="1" applyBorder="1"/>
    <xf numFmtId="0" fontId="5" fillId="0" borderId="14" xfId="2" applyFont="1" applyFill="1" applyBorder="1" applyAlignment="1" applyProtection="1"/>
    <xf numFmtId="0" fontId="4" fillId="0" borderId="19" xfId="0" applyFont="1" applyBorder="1" applyAlignment="1">
      <alignment horizontal="left" indent="1"/>
    </xf>
    <xf numFmtId="0" fontId="4" fillId="0" borderId="20" xfId="0" applyFont="1" applyBorder="1" applyAlignment="1">
      <alignment horizontal="left" indent="1"/>
    </xf>
    <xf numFmtId="0" fontId="4" fillId="0" borderId="21" xfId="0" applyFont="1" applyBorder="1" applyAlignment="1">
      <alignment horizontal="left" indent="1"/>
    </xf>
    <xf numFmtId="0" fontId="6" fillId="0" borderId="14" xfId="0" applyFont="1" applyBorder="1"/>
    <xf numFmtId="164" fontId="0" fillId="0" borderId="28" xfId="0" applyNumberFormat="1" applyBorder="1" applyAlignment="1">
      <alignment horizontal="center"/>
    </xf>
    <xf numFmtId="0" fontId="5" fillId="0" borderId="13" xfId="0" applyFont="1" applyBorder="1" applyAlignment="1" applyProtection="1">
      <alignment horizontal="center" wrapText="1"/>
      <protection hidden="1"/>
    </xf>
    <xf numFmtId="0" fontId="5" fillId="0" borderId="48" xfId="0" applyFont="1" applyBorder="1" applyAlignment="1" applyProtection="1">
      <alignment horizontal="center" wrapText="1"/>
      <protection hidden="1"/>
    </xf>
    <xf numFmtId="0" fontId="5" fillId="0" borderId="49" xfId="0" applyFont="1" applyBorder="1" applyAlignment="1" applyProtection="1">
      <alignment horizontal="center" wrapText="1"/>
      <protection hidden="1"/>
    </xf>
    <xf numFmtId="0" fontId="5" fillId="0" borderId="28" xfId="2" applyFont="1" applyFill="1" applyBorder="1" applyAlignment="1" applyProtection="1">
      <protection hidden="1"/>
    </xf>
    <xf numFmtId="5" fontId="28" fillId="0" borderId="24" xfId="5" applyNumberFormat="1" applyFont="1" applyFill="1" applyBorder="1" applyProtection="1">
      <protection hidden="1"/>
    </xf>
    <xf numFmtId="7" fontId="0" fillId="0" borderId="40" xfId="0" applyNumberFormat="1" applyBorder="1"/>
    <xf numFmtId="7" fontId="0" fillId="0" borderId="0" xfId="0" applyNumberFormat="1"/>
    <xf numFmtId="5" fontId="28" fillId="0" borderId="25" xfId="5" applyNumberFormat="1" applyFont="1" applyFill="1" applyBorder="1" applyProtection="1">
      <protection hidden="1"/>
    </xf>
    <xf numFmtId="5" fontId="28" fillId="0" borderId="34" xfId="5" applyNumberFormat="1" applyFont="1" applyFill="1" applyBorder="1" applyProtection="1">
      <protection hidden="1"/>
    </xf>
    <xf numFmtId="7" fontId="0" fillId="0" borderId="47" xfId="0" applyNumberFormat="1" applyBorder="1"/>
    <xf numFmtId="0" fontId="5" fillId="0" borderId="15" xfId="2" applyFont="1" applyFill="1" applyBorder="1" applyAlignment="1" applyProtection="1"/>
    <xf numFmtId="7" fontId="29" fillId="0" borderId="27" xfId="0" applyNumberFormat="1" applyFont="1" applyBorder="1"/>
    <xf numFmtId="7" fontId="0" fillId="0" borderId="41" xfId="0" applyNumberFormat="1" applyBorder="1"/>
    <xf numFmtId="0" fontId="4" fillId="0" borderId="16" xfId="0" applyFont="1" applyBorder="1" applyAlignment="1">
      <alignment horizontal="left" indent="1"/>
    </xf>
    <xf numFmtId="5" fontId="28" fillId="0" borderId="35" xfId="5" applyNumberFormat="1" applyFont="1" applyFill="1" applyBorder="1" applyProtection="1">
      <protection hidden="1"/>
    </xf>
    <xf numFmtId="7" fontId="0" fillId="0" borderId="5" xfId="0" applyNumberFormat="1" applyBorder="1"/>
    <xf numFmtId="5" fontId="28" fillId="0" borderId="25" xfId="5" applyNumberFormat="1" applyFont="1" applyFill="1" applyBorder="1"/>
    <xf numFmtId="0" fontId="4" fillId="0" borderId="17" xfId="0" applyFont="1" applyBorder="1" applyAlignment="1">
      <alignment horizontal="left" indent="1"/>
    </xf>
    <xf numFmtId="5" fontId="28" fillId="0" borderId="36" xfId="5" applyNumberFormat="1" applyFont="1" applyFill="1" applyBorder="1" applyProtection="1">
      <protection hidden="1"/>
    </xf>
    <xf numFmtId="5" fontId="28" fillId="0" borderId="31" xfId="5" applyNumberFormat="1" applyFont="1" applyFill="1" applyBorder="1" applyProtection="1">
      <protection hidden="1"/>
    </xf>
    <xf numFmtId="0" fontId="4" fillId="0" borderId="10" xfId="0" applyFont="1" applyBorder="1" applyAlignment="1">
      <alignment horizontal="left" indent="1"/>
    </xf>
    <xf numFmtId="5" fontId="28" fillId="0" borderId="2" xfId="5" applyNumberFormat="1" applyFont="1" applyFill="1" applyBorder="1" applyProtection="1">
      <protection hidden="1"/>
    </xf>
    <xf numFmtId="5" fontId="28" fillId="0" borderId="26" xfId="5" applyNumberFormat="1" applyFont="1" applyFill="1" applyBorder="1" applyProtection="1">
      <protection hidden="1"/>
    </xf>
    <xf numFmtId="7" fontId="29" fillId="0" borderId="28" xfId="0" applyNumberFormat="1" applyFont="1" applyBorder="1"/>
    <xf numFmtId="5" fontId="28" fillId="0" borderId="29" xfId="5" applyNumberFormat="1" applyFont="1" applyFill="1" applyBorder="1" applyProtection="1">
      <protection hidden="1"/>
    </xf>
    <xf numFmtId="5" fontId="28" fillId="0" borderId="30" xfId="5" applyNumberFormat="1" applyFont="1" applyFill="1" applyBorder="1" applyProtection="1">
      <protection hidden="1"/>
    </xf>
    <xf numFmtId="0" fontId="4" fillId="0" borderId="18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5" fontId="28" fillId="0" borderId="2" xfId="5" applyNumberFormat="1" applyFont="1" applyFill="1" applyBorder="1"/>
    <xf numFmtId="5" fontId="28" fillId="0" borderId="32" xfId="5" applyNumberFormat="1" applyFont="1" applyFill="1" applyBorder="1" applyProtection="1">
      <protection hidden="1"/>
    </xf>
    <xf numFmtId="5" fontId="28" fillId="0" borderId="37" xfId="5" applyNumberFormat="1" applyFont="1" applyFill="1" applyBorder="1" applyProtection="1">
      <protection hidden="1"/>
    </xf>
    <xf numFmtId="0" fontId="4" fillId="0" borderId="12" xfId="0" applyFont="1" applyBorder="1" applyAlignment="1">
      <alignment horizontal="left" indent="1"/>
    </xf>
    <xf numFmtId="0" fontId="29" fillId="0" borderId="27" xfId="0" applyFont="1" applyBorder="1"/>
    <xf numFmtId="5" fontId="29" fillId="0" borderId="33" xfId="0" applyNumberFormat="1" applyFont="1" applyBorder="1"/>
    <xf numFmtId="0" fontId="21" fillId="7" borderId="15" xfId="0" applyFont="1" applyFill="1" applyBorder="1"/>
    <xf numFmtId="164" fontId="0" fillId="7" borderId="0" xfId="0" applyNumberFormat="1" applyFill="1" applyAlignment="1">
      <alignment horizontal="center"/>
    </xf>
    <xf numFmtId="0" fontId="0" fillId="7" borderId="40" xfId="0" applyFill="1" applyBorder="1"/>
    <xf numFmtId="164" fontId="0" fillId="7" borderId="40" xfId="0" applyNumberFormat="1" applyFill="1" applyBorder="1"/>
    <xf numFmtId="0" fontId="6" fillId="7" borderId="14" xfId="0" applyFont="1" applyFill="1" applyBorder="1"/>
    <xf numFmtId="0" fontId="0" fillId="0" borderId="40" xfId="0" applyBorder="1" applyAlignment="1">
      <alignment horizontal="center"/>
    </xf>
    <xf numFmtId="0" fontId="37" fillId="0" borderId="15" xfId="0" applyFont="1" applyBorder="1"/>
    <xf numFmtId="165" fontId="1" fillId="0" borderId="0" xfId="1" applyNumberFormat="1" applyFont="1" applyBorder="1" applyAlignment="1">
      <alignment horizontal="center" textRotation="90"/>
    </xf>
    <xf numFmtId="5" fontId="28" fillId="0" borderId="25" xfId="5" applyNumberFormat="1" applyFont="1" applyFill="1" applyBorder="1" applyAlignment="1" applyProtection="1">
      <alignment horizontal="right"/>
      <protection hidden="1"/>
    </xf>
    <xf numFmtId="5" fontId="28" fillId="0" borderId="46" xfId="5" applyNumberFormat="1" applyFont="1" applyFill="1" applyBorder="1" applyAlignment="1" applyProtection="1">
      <alignment horizontal="right"/>
      <protection hidden="1"/>
    </xf>
    <xf numFmtId="5" fontId="28" fillId="0" borderId="26" xfId="5" applyNumberFormat="1" applyFont="1" applyFill="1" applyBorder="1" applyAlignment="1" applyProtection="1">
      <alignment horizontal="right"/>
      <protection hidden="1"/>
    </xf>
    <xf numFmtId="5" fontId="28" fillId="0" borderId="37" xfId="5" applyNumberFormat="1" applyFont="1" applyFill="1" applyBorder="1" applyAlignment="1" applyProtection="1">
      <alignment horizontal="right"/>
      <protection hidden="1"/>
    </xf>
    <xf numFmtId="0" fontId="16" fillId="0" borderId="42" xfId="0" applyFont="1" applyBorder="1" applyAlignment="1">
      <alignment horizontal="center"/>
    </xf>
    <xf numFmtId="0" fontId="16" fillId="0" borderId="43" xfId="0" applyFont="1" applyBorder="1" applyAlignment="1">
      <alignment horizontal="center"/>
    </xf>
    <xf numFmtId="0" fontId="16" fillId="0" borderId="44" xfId="0" applyFont="1" applyBorder="1" applyAlignment="1">
      <alignment horizontal="center"/>
    </xf>
    <xf numFmtId="0" fontId="3" fillId="0" borderId="14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26" fillId="4" borderId="2" xfId="0" applyFont="1" applyFill="1" applyBorder="1" applyAlignment="1" applyProtection="1">
      <alignment horizontal="center"/>
      <protection locked="0"/>
    </xf>
    <xf numFmtId="0" fontId="24" fillId="4" borderId="33" xfId="0" applyFont="1" applyFill="1" applyBorder="1" applyAlignment="1" applyProtection="1">
      <alignment horizontal="center"/>
      <protection locked="0"/>
    </xf>
    <xf numFmtId="0" fontId="24" fillId="4" borderId="59" xfId="0" applyFont="1" applyFill="1" applyBorder="1" applyAlignment="1" applyProtection="1">
      <alignment horizontal="center"/>
      <protection locked="0"/>
    </xf>
    <xf numFmtId="0" fontId="3" fillId="0" borderId="14" xfId="0" applyFont="1" applyBorder="1" applyAlignment="1">
      <alignment horizontal="right" wrapText="1"/>
    </xf>
    <xf numFmtId="0" fontId="3" fillId="0" borderId="27" xfId="0" applyFont="1" applyBorder="1" applyAlignment="1">
      <alignment horizontal="right" wrapText="1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0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45" xfId="0" applyBorder="1" applyAlignment="1">
      <alignment horizontal="center"/>
    </xf>
    <xf numFmtId="0" fontId="35" fillId="0" borderId="51" xfId="0" applyFont="1" applyBorder="1" applyAlignment="1">
      <alignment horizontal="center" wrapText="1"/>
    </xf>
    <xf numFmtId="0" fontId="35" fillId="0" borderId="52" xfId="0" applyFont="1" applyBorder="1" applyAlignment="1">
      <alignment horizontal="center" wrapText="1"/>
    </xf>
    <xf numFmtId="0" fontId="35" fillId="0" borderId="53" xfId="0" applyFont="1" applyBorder="1" applyAlignment="1">
      <alignment horizontal="center" wrapText="1"/>
    </xf>
    <xf numFmtId="0" fontId="36" fillId="0" borderId="0" xfId="0" applyFont="1"/>
    <xf numFmtId="0" fontId="3" fillId="0" borderId="50" xfId="0" applyFont="1" applyBorder="1" applyAlignment="1">
      <alignment horizontal="center" wrapText="1"/>
    </xf>
    <xf numFmtId="0" fontId="23" fillId="0" borderId="23" xfId="0" applyFont="1" applyBorder="1" applyAlignment="1">
      <alignment horizontal="center" wrapText="1"/>
    </xf>
    <xf numFmtId="0" fontId="23" fillId="0" borderId="45" xfId="0" applyFont="1" applyBorder="1" applyAlignment="1">
      <alignment horizontal="center" wrapText="1"/>
    </xf>
    <xf numFmtId="164" fontId="4" fillId="0" borderId="32" xfId="0" applyNumberFormat="1" applyFont="1" applyBorder="1" applyAlignment="1">
      <alignment horizontal="center" wrapText="1"/>
    </xf>
    <xf numFmtId="164" fontId="4" fillId="0" borderId="33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164" fontId="4" fillId="0" borderId="54" xfId="0" applyNumberFormat="1" applyFont="1" applyBorder="1" applyAlignment="1">
      <alignment horizontal="center" wrapText="1"/>
    </xf>
    <xf numFmtId="0" fontId="4" fillId="0" borderId="55" xfId="0" applyFont="1" applyBorder="1" applyAlignment="1">
      <alignment horizontal="center" wrapText="1"/>
    </xf>
    <xf numFmtId="164" fontId="4" fillId="0" borderId="4" xfId="0" applyNumberFormat="1" applyFont="1" applyBorder="1" applyAlignment="1">
      <alignment horizontal="center" wrapText="1"/>
    </xf>
    <xf numFmtId="164" fontId="4" fillId="0" borderId="56" xfId="0" applyNumberFormat="1" applyFont="1" applyBorder="1" applyAlignment="1">
      <alignment horizontal="center" wrapText="1"/>
    </xf>
  </cellXfs>
  <cellStyles count="6">
    <cellStyle name="Currency" xfId="1" builtinId="4"/>
    <cellStyle name="Heading 2" xfId="2" builtinId="17"/>
    <cellStyle name="Hyperlink" xfId="3" builtinId="8"/>
    <cellStyle name="Normal" xfId="0" builtinId="0"/>
    <cellStyle name="PullDownList" xfId="4" xr:uid="{00000000-0005-0000-0000-000004000000}"/>
    <cellStyle name="StandardizedData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nevadadot.com/business/trucker/overdimensional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79"/>
  <sheetViews>
    <sheetView tabSelected="1" view="pageBreakPreview" zoomScaleNormal="100" zoomScaleSheetLayoutView="100" workbookViewId="0">
      <selection activeCell="A4" sqref="A4:F4"/>
    </sheetView>
  </sheetViews>
  <sheetFormatPr defaultRowHeight="15"/>
  <cols>
    <col min="1" max="1" width="38.85546875" customWidth="1"/>
    <col min="2" max="4" width="9.28515625" style="20" bestFit="1" customWidth="1"/>
    <col min="5" max="5" width="10.7109375" style="20" customWidth="1"/>
    <col min="6" max="6" width="9.28515625" style="20" bestFit="1" customWidth="1"/>
    <col min="7" max="7" width="10.140625" style="20" bestFit="1" customWidth="1"/>
    <col min="8" max="8" width="9.28515625" bestFit="1" customWidth="1"/>
    <col min="9" max="10" width="12" customWidth="1"/>
    <col min="14" max="14" width="12.7109375" bestFit="1" customWidth="1"/>
    <col min="15" max="15" width="12.5703125" customWidth="1"/>
    <col min="18" max="18" width="13.85546875" customWidth="1"/>
  </cols>
  <sheetData>
    <row r="1" spans="1:19" ht="18.75" thickBot="1">
      <c r="A1" s="267" t="s">
        <v>149</v>
      </c>
      <c r="B1" s="268"/>
      <c r="C1" s="268"/>
      <c r="D1" s="268"/>
      <c r="E1" s="268"/>
      <c r="F1" s="268"/>
      <c r="G1" s="268"/>
      <c r="H1" s="268"/>
      <c r="I1" s="268"/>
      <c r="J1" s="269"/>
      <c r="R1" s="15"/>
      <c r="S1" s="16"/>
    </row>
    <row r="2" spans="1:19" ht="15.75" thickBot="1">
      <c r="A2" s="106" t="s">
        <v>0</v>
      </c>
      <c r="B2" s="270" t="s">
        <v>137</v>
      </c>
      <c r="C2" s="271"/>
      <c r="D2" s="271"/>
      <c r="E2" s="271"/>
      <c r="F2" s="271"/>
      <c r="G2" s="271"/>
      <c r="H2" s="271"/>
      <c r="I2" s="271"/>
      <c r="J2" s="209"/>
    </row>
    <row r="3" spans="1:19" ht="15.75" customHeight="1" thickBot="1">
      <c r="A3" s="107"/>
      <c r="B3" s="277" t="s">
        <v>139</v>
      </c>
      <c r="C3" s="278"/>
      <c r="D3" s="278"/>
      <c r="E3" s="278"/>
      <c r="F3" s="278"/>
      <c r="G3" s="278"/>
      <c r="H3" s="278"/>
      <c r="I3" s="278"/>
      <c r="J3" s="209"/>
    </row>
    <row r="4" spans="1:19" ht="15.75" thickBot="1">
      <c r="A4" s="274" t="s">
        <v>141</v>
      </c>
      <c r="B4" s="275"/>
      <c r="C4" s="275"/>
      <c r="D4" s="275"/>
      <c r="E4" s="275"/>
      <c r="F4" s="276"/>
      <c r="G4" s="272" t="s">
        <v>1</v>
      </c>
      <c r="H4" s="273"/>
      <c r="I4" s="273"/>
      <c r="J4" s="210">
        <f>J3/55</f>
        <v>0</v>
      </c>
    </row>
    <row r="5" spans="1:19" ht="144" customHeight="1" thickBot="1">
      <c r="A5" s="194" t="s">
        <v>2</v>
      </c>
      <c r="B5" s="262" t="s">
        <v>3</v>
      </c>
      <c r="C5" s="108" t="s">
        <v>4</v>
      </c>
      <c r="D5" s="153" t="s">
        <v>133</v>
      </c>
      <c r="E5" s="108" t="s">
        <v>5</v>
      </c>
      <c r="F5" s="108" t="s">
        <v>6</v>
      </c>
      <c r="G5" s="108" t="s">
        <v>7</v>
      </c>
      <c r="H5" s="109" t="s">
        <v>8</v>
      </c>
      <c r="I5" s="110" t="s">
        <v>9</v>
      </c>
      <c r="J5" s="111" t="s">
        <v>10</v>
      </c>
    </row>
    <row r="6" spans="1:19" ht="16.5" thickBot="1">
      <c r="A6" s="152" t="s">
        <v>11</v>
      </c>
      <c r="B6" s="112"/>
      <c r="C6" s="112"/>
      <c r="D6" s="112"/>
      <c r="E6" s="112"/>
      <c r="F6" s="112"/>
      <c r="G6" s="112"/>
      <c r="H6" s="113"/>
      <c r="I6" s="113"/>
      <c r="J6" s="114"/>
    </row>
    <row r="7" spans="1:19">
      <c r="A7" s="1" t="s">
        <v>12</v>
      </c>
      <c r="B7" s="115">
        <f>'RSM Equipment'!E7+'Davis-Bacon Wages'!K7</f>
        <v>108.88598999999999</v>
      </c>
      <c r="C7" s="115">
        <f t="shared" ref="C7:C12" si="0">IF($J$3&gt;0,B7,0)</f>
        <v>0</v>
      </c>
      <c r="D7" s="115">
        <f t="shared" ref="D7:D12" si="1">IF(J$3&gt;50, B7,0)</f>
        <v>0</v>
      </c>
      <c r="E7" s="115">
        <f>AssemblyDisassembly!D7</f>
        <v>0</v>
      </c>
      <c r="F7" s="116">
        <v>0</v>
      </c>
      <c r="G7" s="117">
        <f>'Pilot Car'!J7</f>
        <v>0</v>
      </c>
      <c r="H7" s="3"/>
      <c r="I7" s="117">
        <f>((B7*$J$4)+C7+(D7*J$4)+E7+F7+G7)*H7</f>
        <v>0</v>
      </c>
      <c r="J7" s="118">
        <f>I7*2</f>
        <v>0</v>
      </c>
    </row>
    <row r="8" spans="1:19">
      <c r="A8" s="4" t="s">
        <v>13</v>
      </c>
      <c r="B8" s="115">
        <f>'RSM Equipment'!E8+'Davis-Bacon Wages'!K8</f>
        <v>143.26598999999999</v>
      </c>
      <c r="C8" s="115">
        <f t="shared" si="0"/>
        <v>0</v>
      </c>
      <c r="D8" s="115">
        <f t="shared" si="1"/>
        <v>0</v>
      </c>
      <c r="E8" s="115">
        <f>AssemblyDisassembly!D8</f>
        <v>0</v>
      </c>
      <c r="F8" s="116">
        <v>25</v>
      </c>
      <c r="G8" s="117">
        <f>'Pilot Car'!J8</f>
        <v>0</v>
      </c>
      <c r="H8" s="3"/>
      <c r="I8" s="117">
        <f>((B8*$J$4)+C8+(D8*J$4)+E8+F8+G8)*H8</f>
        <v>0</v>
      </c>
      <c r="J8" s="118">
        <f>I8*2</f>
        <v>0</v>
      </c>
    </row>
    <row r="9" spans="1:19">
      <c r="A9" s="4" t="s">
        <v>14</v>
      </c>
      <c r="B9" s="115">
        <f>'RSM Equipment'!E9+'Davis-Bacon Wages'!K9</f>
        <v>168.99598999999998</v>
      </c>
      <c r="C9" s="115">
        <f t="shared" si="0"/>
        <v>0</v>
      </c>
      <c r="D9" s="115">
        <f t="shared" si="1"/>
        <v>0</v>
      </c>
      <c r="E9" s="115">
        <f>AssemblyDisassembly!D9</f>
        <v>0</v>
      </c>
      <c r="F9" s="116">
        <v>25</v>
      </c>
      <c r="G9" s="117">
        <f>'Pilot Car'!J9</f>
        <v>0</v>
      </c>
      <c r="H9" s="3"/>
      <c r="I9" s="117">
        <f>((B9*$J$4)+C9+(D9*J$4)+E9+F9+G9)*H9</f>
        <v>0</v>
      </c>
      <c r="J9" s="118">
        <f>I9*2</f>
        <v>0</v>
      </c>
    </row>
    <row r="10" spans="1:19">
      <c r="A10" s="4" t="s">
        <v>15</v>
      </c>
      <c r="B10" s="115">
        <f>'RSM Equipment'!E10+'Davis-Bacon Wages'!K10</f>
        <v>168.99598999999998</v>
      </c>
      <c r="C10" s="115">
        <f t="shared" si="0"/>
        <v>0</v>
      </c>
      <c r="D10" s="115">
        <f t="shared" si="1"/>
        <v>0</v>
      </c>
      <c r="E10" s="115">
        <f>AssemblyDisassembly!D10</f>
        <v>0</v>
      </c>
      <c r="F10" s="116">
        <v>25</v>
      </c>
      <c r="G10" s="117">
        <f>'Pilot Car'!J10</f>
        <v>0</v>
      </c>
      <c r="H10" s="3"/>
      <c r="I10" s="117">
        <f>((B10*$J$4)+C10+(D10*J$4)+E10+F10+G10)*H10</f>
        <v>0</v>
      </c>
      <c r="J10" s="118">
        <f>IF(H10&gt;0,I10*2-E10,0)</f>
        <v>0</v>
      </c>
      <c r="N10" s="76"/>
    </row>
    <row r="11" spans="1:19">
      <c r="A11" s="4" t="s">
        <v>16</v>
      </c>
      <c r="B11" s="115">
        <f>'RSM Equipment'!E11+'Davis-Bacon Wages'!K11</f>
        <v>168.99598999999998</v>
      </c>
      <c r="C11" s="115">
        <f t="shared" si="0"/>
        <v>0</v>
      </c>
      <c r="D11" s="115">
        <f t="shared" si="1"/>
        <v>0</v>
      </c>
      <c r="E11" s="115">
        <f>AssemblyDisassembly!D11</f>
        <v>118800</v>
      </c>
      <c r="F11" s="116">
        <v>25</v>
      </c>
      <c r="G11" s="117">
        <f>'Pilot Car'!J11</f>
        <v>0</v>
      </c>
      <c r="H11" s="3"/>
      <c r="I11" s="117">
        <f>((B11*$J$4)+C11+(D11*J$4)+E11+F11+G11)*H11</f>
        <v>0</v>
      </c>
      <c r="J11" s="118">
        <f>IF(H11&gt;0,I11*2-(H11*E11),0)</f>
        <v>0</v>
      </c>
      <c r="N11" s="76"/>
      <c r="O11" s="76"/>
    </row>
    <row r="12" spans="1:19" ht="15.75" thickBot="1">
      <c r="A12" s="5" t="s">
        <v>17</v>
      </c>
      <c r="B12" s="115">
        <f>('RSM Equipment'!E12+'Davis-Bacon Wages'!K12)</f>
        <v>168.99598999999998</v>
      </c>
      <c r="C12" s="115">
        <f t="shared" si="0"/>
        <v>0</v>
      </c>
      <c r="D12" s="115">
        <f t="shared" si="1"/>
        <v>0</v>
      </c>
      <c r="E12" s="115">
        <f>AssemblyDisassembly!D12</f>
        <v>215786</v>
      </c>
      <c r="F12" s="116">
        <v>25</v>
      </c>
      <c r="G12" s="117">
        <f>'Pilot Car'!J12</f>
        <v>0</v>
      </c>
      <c r="H12" s="3"/>
      <c r="I12" s="119">
        <f>(((B12*$J$4)+C12+(D12*$J$4)+E12+F12+G12)*H12)+((B$61*$J$4)+C$61+($D$61*$J$4))*H12</f>
        <v>0</v>
      </c>
      <c r="J12" s="118">
        <f>IF(H12&gt;0,I12*2-(H12*E12),0)</f>
        <v>0</v>
      </c>
      <c r="N12" s="76"/>
      <c r="O12" s="76"/>
    </row>
    <row r="13" spans="1:19" ht="16.5" thickBot="1">
      <c r="A13" s="13" t="s">
        <v>18</v>
      </c>
      <c r="B13" s="120"/>
      <c r="C13" s="120"/>
      <c r="D13" s="120"/>
      <c r="E13" s="120"/>
      <c r="F13" s="120"/>
      <c r="G13" s="121"/>
      <c r="H13" s="54"/>
      <c r="I13" s="121"/>
      <c r="J13" s="122"/>
      <c r="N13" s="76"/>
      <c r="O13" s="76"/>
    </row>
    <row r="14" spans="1:19">
      <c r="A14" s="6" t="s">
        <v>19</v>
      </c>
      <c r="B14" s="115">
        <f>'RSM Equipment'!E14+'Davis-Bacon Wages'!K14</f>
        <v>108.88598999999999</v>
      </c>
      <c r="C14" s="115">
        <f t="shared" ref="C14:C62" si="2">IF($J$3&gt;0,B14,0)</f>
        <v>0</v>
      </c>
      <c r="D14" s="115">
        <f>IF(J$3&gt;50, B14,0)</f>
        <v>0</v>
      </c>
      <c r="E14" s="115">
        <f>AssemblyDisassembly!D14</f>
        <v>0</v>
      </c>
      <c r="F14" s="116">
        <v>0</v>
      </c>
      <c r="G14" s="117">
        <f>'Pilot Car'!J14</f>
        <v>0</v>
      </c>
      <c r="H14" s="3"/>
      <c r="I14" s="117">
        <f t="shared" ref="I14:I28" si="3">((B14*$J$4)+C14+(D14*J$4)+E14+F14+G14)*H14</f>
        <v>0</v>
      </c>
      <c r="J14" s="118">
        <f t="shared" ref="J14:J62" si="4">I14*2</f>
        <v>0</v>
      </c>
      <c r="N14" s="76"/>
      <c r="O14" s="76"/>
    </row>
    <row r="15" spans="1:19" ht="15.75" thickBot="1">
      <c r="A15" s="7" t="s">
        <v>20</v>
      </c>
      <c r="B15" s="115">
        <f>'RSM Equipment'!E15+'Davis-Bacon Wages'!K15</f>
        <v>143.26598999999999</v>
      </c>
      <c r="C15" s="115">
        <f t="shared" si="2"/>
        <v>0</v>
      </c>
      <c r="D15" s="115">
        <f>IF(J$3&gt;50, B15,0)</f>
        <v>0</v>
      </c>
      <c r="E15" s="115">
        <f>AssemblyDisassembly!D15</f>
        <v>0</v>
      </c>
      <c r="F15" s="116">
        <v>25</v>
      </c>
      <c r="G15" s="117">
        <f>'Pilot Car'!J15</f>
        <v>0</v>
      </c>
      <c r="H15" s="3"/>
      <c r="I15" s="117">
        <f t="shared" si="3"/>
        <v>0</v>
      </c>
      <c r="J15" s="118">
        <f t="shared" si="4"/>
        <v>0</v>
      </c>
      <c r="N15" s="76"/>
      <c r="O15" s="76"/>
    </row>
    <row r="16" spans="1:19" ht="16.5" thickBot="1">
      <c r="A16" s="13" t="s">
        <v>21</v>
      </c>
      <c r="B16" s="120"/>
      <c r="C16" s="120"/>
      <c r="D16" s="120"/>
      <c r="E16" s="120"/>
      <c r="F16" s="120"/>
      <c r="G16" s="121"/>
      <c r="H16" s="14"/>
      <c r="I16" s="121"/>
      <c r="J16" s="122"/>
      <c r="N16" s="76"/>
      <c r="O16" s="76"/>
    </row>
    <row r="17" spans="1:15">
      <c r="A17" s="4" t="s">
        <v>22</v>
      </c>
      <c r="B17" s="115">
        <f>'RSM Equipment'!E17+'Davis-Bacon Wages'!K17</f>
        <v>143.26598999999999</v>
      </c>
      <c r="C17" s="115">
        <f t="shared" si="2"/>
        <v>0</v>
      </c>
      <c r="D17" s="115">
        <f>IF(J$3&gt;50, B17,0)</f>
        <v>0</v>
      </c>
      <c r="E17" s="115">
        <f>AssemblyDisassembly!D17</f>
        <v>0</v>
      </c>
      <c r="F17" s="116">
        <v>0</v>
      </c>
      <c r="G17" s="117">
        <f>'Pilot Car'!J17</f>
        <v>0</v>
      </c>
      <c r="H17" s="3"/>
      <c r="I17" s="117">
        <f t="shared" si="3"/>
        <v>0</v>
      </c>
      <c r="J17" s="118">
        <f t="shared" si="4"/>
        <v>0</v>
      </c>
      <c r="N17" s="76"/>
      <c r="O17" s="76"/>
    </row>
    <row r="18" spans="1:15">
      <c r="A18" s="4" t="s">
        <v>23</v>
      </c>
      <c r="B18" s="115">
        <f>'RSM Equipment'!E18+'Davis-Bacon Wages'!K18</f>
        <v>143.26598999999999</v>
      </c>
      <c r="C18" s="115">
        <f t="shared" si="2"/>
        <v>0</v>
      </c>
      <c r="D18" s="115">
        <f>IF(J$3&gt;50, B18,0)</f>
        <v>0</v>
      </c>
      <c r="E18" s="115">
        <f>AssemblyDisassembly!D18</f>
        <v>0</v>
      </c>
      <c r="F18" s="116">
        <v>0</v>
      </c>
      <c r="G18" s="117">
        <f>'Pilot Car'!J18</f>
        <v>0</v>
      </c>
      <c r="H18" s="3"/>
      <c r="I18" s="117">
        <f t="shared" si="3"/>
        <v>0</v>
      </c>
      <c r="J18" s="118">
        <f t="shared" si="4"/>
        <v>0</v>
      </c>
      <c r="N18" s="76"/>
      <c r="O18" s="76"/>
    </row>
    <row r="19" spans="1:15">
      <c r="A19" s="8" t="s">
        <v>24</v>
      </c>
      <c r="B19" s="115">
        <f>'RSM Equipment'!E19+'Davis-Bacon Wages'!K19</f>
        <v>168.99598999999998</v>
      </c>
      <c r="C19" s="115">
        <f t="shared" si="2"/>
        <v>0</v>
      </c>
      <c r="D19" s="115">
        <f>IF(J$3&gt;50, B19,0)</f>
        <v>0</v>
      </c>
      <c r="E19" s="115">
        <f>AssemblyDisassembly!D19</f>
        <v>0</v>
      </c>
      <c r="F19" s="116">
        <v>25</v>
      </c>
      <c r="G19" s="117">
        <f>'Pilot Car'!J19</f>
        <v>0</v>
      </c>
      <c r="H19" s="3"/>
      <c r="I19" s="117">
        <f t="shared" si="3"/>
        <v>0</v>
      </c>
      <c r="J19" s="118">
        <f t="shared" si="4"/>
        <v>0</v>
      </c>
      <c r="N19" s="76"/>
      <c r="O19" s="76"/>
    </row>
    <row r="20" spans="1:15" ht="15.75" thickBot="1">
      <c r="A20" s="9" t="s">
        <v>25</v>
      </c>
      <c r="B20" s="115">
        <f>'RSM Equipment'!E20+'Davis-Bacon Wages'!K20</f>
        <v>168.99598999999998</v>
      </c>
      <c r="C20" s="115">
        <f t="shared" si="2"/>
        <v>0</v>
      </c>
      <c r="D20" s="115">
        <f>IF(J$3&gt;50, B20,0)</f>
        <v>0</v>
      </c>
      <c r="E20" s="115">
        <f>AssemblyDisassembly!D20</f>
        <v>93720</v>
      </c>
      <c r="F20" s="116">
        <v>25</v>
      </c>
      <c r="G20" s="117">
        <f>'Pilot Car'!J20</f>
        <v>0</v>
      </c>
      <c r="H20" s="3"/>
      <c r="I20" s="117">
        <f t="shared" si="3"/>
        <v>0</v>
      </c>
      <c r="J20" s="118">
        <f>IF(H20&gt;0,I20*2-(H20*E20),0)</f>
        <v>0</v>
      </c>
      <c r="N20" s="76"/>
      <c r="O20" s="76"/>
    </row>
    <row r="21" spans="1:15" ht="16.5" thickBot="1">
      <c r="A21" s="13" t="s">
        <v>26</v>
      </c>
      <c r="B21" s="120"/>
      <c r="C21" s="120"/>
      <c r="D21" s="120"/>
      <c r="E21" s="120"/>
      <c r="F21" s="120"/>
      <c r="G21" s="121"/>
      <c r="H21" s="14"/>
      <c r="I21" s="121"/>
      <c r="J21" s="122"/>
      <c r="N21" s="76"/>
      <c r="O21" s="76"/>
    </row>
    <row r="22" spans="1:15">
      <c r="A22" s="8" t="s">
        <v>27</v>
      </c>
      <c r="B22" s="115">
        <f>'RSM Equipment'!E22+'Davis-Bacon Wages'!K22</f>
        <v>168.99598999999998</v>
      </c>
      <c r="C22" s="115">
        <f t="shared" si="2"/>
        <v>0</v>
      </c>
      <c r="D22" s="115">
        <f>IF(J$3&gt;50, B22,0)</f>
        <v>0</v>
      </c>
      <c r="E22" s="115">
        <f>AssemblyDisassembly!D22</f>
        <v>0</v>
      </c>
      <c r="F22" s="116">
        <v>25</v>
      </c>
      <c r="G22" s="117">
        <f>'Pilot Car'!J22</f>
        <v>0</v>
      </c>
      <c r="H22" s="3"/>
      <c r="I22" s="117">
        <f t="shared" si="3"/>
        <v>0</v>
      </c>
      <c r="J22" s="118">
        <f t="shared" si="4"/>
        <v>0</v>
      </c>
      <c r="N22" s="76"/>
      <c r="O22" s="76"/>
    </row>
    <row r="23" spans="1:15" ht="15.75" thickBot="1">
      <c r="A23" s="9" t="s">
        <v>28</v>
      </c>
      <c r="B23" s="115">
        <f>'RSM Equipment'!E23+'Davis-Bacon Wages'!K23</f>
        <v>168.99598999999998</v>
      </c>
      <c r="C23" s="115">
        <f t="shared" si="2"/>
        <v>0</v>
      </c>
      <c r="D23" s="115">
        <f>IF(J$3&gt;50, B23,0)</f>
        <v>0</v>
      </c>
      <c r="E23" s="115">
        <f>AssemblyDisassembly!D23</f>
        <v>0</v>
      </c>
      <c r="F23" s="116">
        <v>25</v>
      </c>
      <c r="G23" s="117">
        <f>'Pilot Car'!J23</f>
        <v>0</v>
      </c>
      <c r="H23" s="3"/>
      <c r="I23" s="117">
        <f t="shared" si="3"/>
        <v>0</v>
      </c>
      <c r="J23" s="118">
        <f t="shared" si="4"/>
        <v>0</v>
      </c>
      <c r="N23" s="76"/>
      <c r="O23" s="76"/>
    </row>
    <row r="24" spans="1:15" ht="16.5" thickBot="1">
      <c r="A24" s="13" t="s">
        <v>29</v>
      </c>
      <c r="B24" s="120"/>
      <c r="C24" s="120"/>
      <c r="D24" s="120"/>
      <c r="E24" s="120"/>
      <c r="F24" s="120"/>
      <c r="G24" s="121"/>
      <c r="H24" s="14"/>
      <c r="I24" s="121"/>
      <c r="J24" s="122"/>
      <c r="N24" s="76"/>
      <c r="O24" s="76"/>
    </row>
    <row r="25" spans="1:15">
      <c r="A25" s="1" t="s">
        <v>30</v>
      </c>
      <c r="B25" s="115">
        <f>'RSM Equipment'!E25+'Davis-Bacon Wages'!K25</f>
        <v>108.88598999999999</v>
      </c>
      <c r="C25" s="115">
        <f t="shared" si="2"/>
        <v>0</v>
      </c>
      <c r="D25" s="115">
        <f>IF(J$3&gt;50, B25,0)</f>
        <v>0</v>
      </c>
      <c r="E25" s="115">
        <f>AssemblyDisassembly!D25</f>
        <v>0</v>
      </c>
      <c r="F25" s="116">
        <v>0</v>
      </c>
      <c r="G25" s="117">
        <f>'Pilot Car'!J25</f>
        <v>0</v>
      </c>
      <c r="H25" s="3"/>
      <c r="I25" s="117">
        <f t="shared" si="3"/>
        <v>0</v>
      </c>
      <c r="J25" s="118">
        <f t="shared" si="4"/>
        <v>0</v>
      </c>
      <c r="N25" s="76"/>
      <c r="O25" s="76"/>
    </row>
    <row r="26" spans="1:15">
      <c r="A26" s="4" t="s">
        <v>31</v>
      </c>
      <c r="B26" s="115">
        <f>'RSM Equipment'!E26+'Davis-Bacon Wages'!K26</f>
        <v>108.88598999999999</v>
      </c>
      <c r="C26" s="115">
        <f t="shared" si="2"/>
        <v>0</v>
      </c>
      <c r="D26" s="115">
        <f>IF(J$3&gt;50, B26,0)</f>
        <v>0</v>
      </c>
      <c r="E26" s="115">
        <f>AssemblyDisassembly!D26</f>
        <v>0</v>
      </c>
      <c r="F26" s="116">
        <v>0</v>
      </c>
      <c r="G26" s="117">
        <f>'Pilot Car'!J26</f>
        <v>0</v>
      </c>
      <c r="H26" s="3"/>
      <c r="I26" s="117">
        <f t="shared" si="3"/>
        <v>0</v>
      </c>
      <c r="J26" s="118">
        <f t="shared" si="4"/>
        <v>0</v>
      </c>
      <c r="N26" s="76"/>
      <c r="O26" s="76"/>
    </row>
    <row r="27" spans="1:15">
      <c r="A27" s="4" t="s">
        <v>32</v>
      </c>
      <c r="B27" s="115">
        <f>'RSM Equipment'!E27+'Davis-Bacon Wages'!K27</f>
        <v>143.26598999999999</v>
      </c>
      <c r="C27" s="115">
        <f t="shared" si="2"/>
        <v>0</v>
      </c>
      <c r="D27" s="115">
        <f>IF(J$3&gt;50, B27,0)</f>
        <v>0</v>
      </c>
      <c r="E27" s="115">
        <f>AssemblyDisassembly!D27</f>
        <v>0</v>
      </c>
      <c r="F27" s="116">
        <v>0</v>
      </c>
      <c r="G27" s="117">
        <f>'Pilot Car'!J27</f>
        <v>0</v>
      </c>
      <c r="H27" s="3"/>
      <c r="I27" s="117">
        <f t="shared" si="3"/>
        <v>0</v>
      </c>
      <c r="J27" s="118">
        <f t="shared" si="4"/>
        <v>0</v>
      </c>
      <c r="N27" s="76"/>
      <c r="O27" s="76"/>
    </row>
    <row r="28" spans="1:15">
      <c r="A28" s="4" t="s">
        <v>33</v>
      </c>
      <c r="B28" s="115">
        <f>'RSM Equipment'!E28+'Davis-Bacon Wages'!K28</f>
        <v>143.26598999999999</v>
      </c>
      <c r="C28" s="115">
        <f t="shared" si="2"/>
        <v>0</v>
      </c>
      <c r="D28" s="115">
        <f>IF(J$3&gt;50, B28,0)</f>
        <v>0</v>
      </c>
      <c r="E28" s="115">
        <f>AssemblyDisassembly!D28</f>
        <v>0</v>
      </c>
      <c r="F28" s="116">
        <v>25</v>
      </c>
      <c r="G28" s="117">
        <f>'Pilot Car'!J28</f>
        <v>0</v>
      </c>
      <c r="H28" s="3"/>
      <c r="I28" s="117">
        <f t="shared" si="3"/>
        <v>0</v>
      </c>
      <c r="J28" s="118">
        <f t="shared" si="4"/>
        <v>0</v>
      </c>
      <c r="N28" s="76"/>
      <c r="O28" s="76"/>
    </row>
    <row r="29" spans="1:15" ht="15.75" thickBot="1">
      <c r="A29" s="37" t="s">
        <v>34</v>
      </c>
      <c r="B29" s="115">
        <f>'RSM Equipment'!E29+'Davis-Bacon Wages'!K29</f>
        <v>168.99598999999998</v>
      </c>
      <c r="C29" s="115">
        <f t="shared" si="2"/>
        <v>0</v>
      </c>
      <c r="D29" s="115">
        <f>IF(J$3&gt;50, B29,0)</f>
        <v>0</v>
      </c>
      <c r="E29" s="115">
        <f>AssemblyDisassembly!D29</f>
        <v>110880</v>
      </c>
      <c r="F29" s="116">
        <v>25</v>
      </c>
      <c r="G29" s="117">
        <f>'Pilot Car'!J29</f>
        <v>0</v>
      </c>
      <c r="H29" s="3"/>
      <c r="I29" s="119">
        <f>(((B29*$J$4)+C29+(D29*$J$4)+E29+F29+G29)*H29)+((B$61*$J$4)+C$61+($D$61*$J$4))*H29</f>
        <v>0</v>
      </c>
      <c r="J29" s="118">
        <f>IF(H29&gt;0,I29*2-(H29*E29),0)</f>
        <v>0</v>
      </c>
      <c r="N29" s="76"/>
      <c r="O29" s="76"/>
    </row>
    <row r="30" spans="1:15" ht="16.5" thickBot="1">
      <c r="A30" s="13" t="s">
        <v>132</v>
      </c>
      <c r="B30" s="120"/>
      <c r="C30" s="120"/>
      <c r="D30" s="120"/>
      <c r="E30" s="120"/>
      <c r="F30" s="123"/>
      <c r="G30" s="121"/>
      <c r="H30" s="124"/>
      <c r="I30" s="121"/>
      <c r="J30" s="122"/>
      <c r="N30" s="76"/>
    </row>
    <row r="31" spans="1:15">
      <c r="A31" s="1" t="s">
        <v>35</v>
      </c>
      <c r="B31" s="115">
        <v>0</v>
      </c>
      <c r="C31" s="115">
        <f t="shared" si="2"/>
        <v>0</v>
      </c>
      <c r="D31" s="115">
        <f>IF(J$3&gt;50, B31,0)</f>
        <v>0</v>
      </c>
      <c r="E31" s="115">
        <f>AssemblyDisassembly!D31</f>
        <v>0</v>
      </c>
      <c r="F31" s="116">
        <v>0</v>
      </c>
      <c r="G31" s="117">
        <f>'Pilot Car'!J31</f>
        <v>0</v>
      </c>
      <c r="H31" s="3"/>
      <c r="I31" s="117">
        <f>((B31*$J$4)+C31+(D31*J$4)+E31+F31+G31)*H31</f>
        <v>0</v>
      </c>
      <c r="J31" s="118">
        <f t="shared" si="4"/>
        <v>0</v>
      </c>
      <c r="N31" s="76"/>
    </row>
    <row r="32" spans="1:15">
      <c r="A32" s="4" t="s">
        <v>36</v>
      </c>
      <c r="B32" s="115">
        <v>0</v>
      </c>
      <c r="C32" s="115">
        <f t="shared" si="2"/>
        <v>0</v>
      </c>
      <c r="D32" s="115">
        <f>IF(J$3&gt;50, B32,0)</f>
        <v>0</v>
      </c>
      <c r="E32" s="115">
        <f>AssemblyDisassembly!D32</f>
        <v>0</v>
      </c>
      <c r="F32" s="116">
        <v>0</v>
      </c>
      <c r="G32" s="117">
        <f>'Pilot Car'!J32</f>
        <v>0</v>
      </c>
      <c r="H32" s="3"/>
      <c r="I32" s="117">
        <f>((B32*$J$4)+C32+(D32*J$4)+E32+F32+G32)*H32</f>
        <v>0</v>
      </c>
      <c r="J32" s="118">
        <f t="shared" si="4"/>
        <v>0</v>
      </c>
      <c r="N32" s="76"/>
    </row>
    <row r="33" spans="1:14" ht="15.75" thickBot="1">
      <c r="A33" s="37" t="s">
        <v>37</v>
      </c>
      <c r="B33" s="115">
        <v>0</v>
      </c>
      <c r="C33" s="115">
        <f t="shared" si="2"/>
        <v>0</v>
      </c>
      <c r="D33" s="115">
        <f>IF(J$3&gt;50, B33,0)</f>
        <v>0</v>
      </c>
      <c r="E33" s="115">
        <f>AssemblyDisassembly!D33</f>
        <v>0</v>
      </c>
      <c r="F33" s="116">
        <v>0</v>
      </c>
      <c r="G33" s="117">
        <f>'Pilot Car'!J33</f>
        <v>0</v>
      </c>
      <c r="H33" s="3"/>
      <c r="I33" s="117">
        <f>((B33*$J$4)+C33+(D33*J$4)+E33+F33+G33)*H33</f>
        <v>0</v>
      </c>
      <c r="J33" s="118">
        <f t="shared" si="4"/>
        <v>0</v>
      </c>
      <c r="N33" s="76"/>
    </row>
    <row r="34" spans="1:14" ht="16.5" thickBot="1">
      <c r="A34" s="36" t="s">
        <v>38</v>
      </c>
      <c r="B34" s="120"/>
      <c r="C34" s="120"/>
      <c r="D34" s="120"/>
      <c r="E34" s="120"/>
      <c r="F34" s="123"/>
      <c r="G34" s="121"/>
      <c r="H34" s="124"/>
      <c r="I34" s="121"/>
      <c r="J34" s="122"/>
      <c r="N34" s="76"/>
    </row>
    <row r="35" spans="1:14">
      <c r="A35" s="10" t="s">
        <v>39</v>
      </c>
      <c r="B35" s="115">
        <f>'RSM Equipment'!E35+'Davis-Bacon Wages'!K35</f>
        <v>108.88598999999999</v>
      </c>
      <c r="C35" s="115">
        <f t="shared" si="2"/>
        <v>0</v>
      </c>
      <c r="D35" s="115">
        <f t="shared" ref="D35:D46" si="5">IF(J$3&gt;50, B35,0)</f>
        <v>0</v>
      </c>
      <c r="E35" s="115">
        <f>AssemblyDisassembly!D35</f>
        <v>0</v>
      </c>
      <c r="F35" s="116">
        <v>0</v>
      </c>
      <c r="G35" s="117">
        <f>'Pilot Car'!J35</f>
        <v>0</v>
      </c>
      <c r="H35" s="3"/>
      <c r="I35" s="117">
        <f t="shared" ref="I35:I46" si="6">((B35*$J$4)+C35+(D35*J$4)+E35+F35+G35)*H35</f>
        <v>0</v>
      </c>
      <c r="J35" s="118">
        <f t="shared" si="4"/>
        <v>0</v>
      </c>
      <c r="N35" s="76"/>
    </row>
    <row r="36" spans="1:14">
      <c r="A36" s="4" t="s">
        <v>40</v>
      </c>
      <c r="B36" s="115">
        <f>'RSM Equipment'!E36+'Davis-Bacon Wages'!K36</f>
        <v>108.88598999999999</v>
      </c>
      <c r="C36" s="115">
        <f t="shared" si="2"/>
        <v>0</v>
      </c>
      <c r="D36" s="115">
        <f t="shared" si="5"/>
        <v>0</v>
      </c>
      <c r="E36" s="115">
        <f>AssemblyDisassembly!D36</f>
        <v>0</v>
      </c>
      <c r="F36" s="116">
        <v>0</v>
      </c>
      <c r="G36" s="117">
        <f>'Pilot Car'!J36</f>
        <v>0</v>
      </c>
      <c r="H36" s="3"/>
      <c r="I36" s="117">
        <f t="shared" si="6"/>
        <v>0</v>
      </c>
      <c r="J36" s="118">
        <f t="shared" si="4"/>
        <v>0</v>
      </c>
    </row>
    <row r="37" spans="1:14">
      <c r="A37" s="7" t="s">
        <v>41</v>
      </c>
      <c r="B37" s="115">
        <f>'SRCE Eqipment'!C37+'Davis-Bacon Wages'!K37</f>
        <v>111.134725</v>
      </c>
      <c r="C37" s="115">
        <f t="shared" si="2"/>
        <v>0</v>
      </c>
      <c r="D37" s="115">
        <v>0</v>
      </c>
      <c r="E37" s="115">
        <f>AssemblyDisassembly!D37</f>
        <v>0</v>
      </c>
      <c r="F37" s="116">
        <v>0</v>
      </c>
      <c r="G37" s="117">
        <f>'Pilot Car'!J37</f>
        <v>0</v>
      </c>
      <c r="H37" s="3"/>
      <c r="I37" s="117">
        <f>((B37*$J$4)+C37+E37+F37+G37)*H37</f>
        <v>0</v>
      </c>
      <c r="J37" s="118">
        <f t="shared" si="4"/>
        <v>0</v>
      </c>
    </row>
    <row r="38" spans="1:14">
      <c r="A38" s="11" t="s">
        <v>42</v>
      </c>
      <c r="B38" s="115">
        <f>'SRCE Eqipment'!C38+'Davis-Bacon Wages'!K38</f>
        <v>88.759725000000003</v>
      </c>
      <c r="C38" s="115">
        <f t="shared" si="2"/>
        <v>0</v>
      </c>
      <c r="D38" s="115">
        <v>0</v>
      </c>
      <c r="E38" s="115">
        <f>AssemblyDisassembly!D38</f>
        <v>0</v>
      </c>
      <c r="F38" s="116">
        <v>0</v>
      </c>
      <c r="G38" s="117">
        <f>'Pilot Car'!J38</f>
        <v>0</v>
      </c>
      <c r="H38" s="3"/>
      <c r="I38" s="117">
        <f>((B38*$J$4)+C38+E38+F38+G38)*H38</f>
        <v>0</v>
      </c>
      <c r="J38" s="118">
        <f t="shared" si="4"/>
        <v>0</v>
      </c>
    </row>
    <row r="39" spans="1:14">
      <c r="A39" s="11" t="s">
        <v>43</v>
      </c>
      <c r="B39" s="115">
        <f>'RSM Equipment'!E39+'Davis-Bacon Wages'!K39</f>
        <v>93.745989999999992</v>
      </c>
      <c r="C39" s="115">
        <f t="shared" si="2"/>
        <v>0</v>
      </c>
      <c r="D39" s="115">
        <f t="shared" si="5"/>
        <v>0</v>
      </c>
      <c r="E39" s="115">
        <f>AssemblyDisassembly!D39</f>
        <v>0</v>
      </c>
      <c r="F39" s="116">
        <v>0</v>
      </c>
      <c r="G39" s="117">
        <f>'Pilot Car'!J39</f>
        <v>0</v>
      </c>
      <c r="H39" s="3"/>
      <c r="I39" s="117">
        <f t="shared" si="6"/>
        <v>0</v>
      </c>
      <c r="J39" s="118">
        <f t="shared" si="4"/>
        <v>0</v>
      </c>
    </row>
    <row r="40" spans="1:14">
      <c r="A40" s="11" t="s">
        <v>44</v>
      </c>
      <c r="B40" s="115">
        <f>'RSM Equipment'!E40+'Davis-Bacon Wages'!K40</f>
        <v>93.745989999999992</v>
      </c>
      <c r="C40" s="115">
        <f t="shared" si="2"/>
        <v>0</v>
      </c>
      <c r="D40" s="115">
        <f t="shared" si="5"/>
        <v>0</v>
      </c>
      <c r="E40" s="115">
        <f>AssemblyDisassembly!D40</f>
        <v>0</v>
      </c>
      <c r="F40" s="116">
        <v>0</v>
      </c>
      <c r="G40" s="117">
        <f>'Pilot Car'!J40</f>
        <v>0</v>
      </c>
      <c r="H40" s="3"/>
      <c r="I40" s="117">
        <f t="shared" si="6"/>
        <v>0</v>
      </c>
      <c r="J40" s="118">
        <f t="shared" si="4"/>
        <v>0</v>
      </c>
    </row>
    <row r="41" spans="1:14">
      <c r="A41" s="8" t="s">
        <v>45</v>
      </c>
      <c r="B41" s="115">
        <f>'SRCE Eqipment'!C41+'Davis-Bacon Wages'!K41</f>
        <v>269.89127999999999</v>
      </c>
      <c r="C41" s="115">
        <f t="shared" si="2"/>
        <v>0</v>
      </c>
      <c r="D41" s="115">
        <v>0</v>
      </c>
      <c r="E41" s="115">
        <f>AssemblyDisassembly!D41</f>
        <v>0</v>
      </c>
      <c r="F41" s="116">
        <v>0</v>
      </c>
      <c r="G41" s="117">
        <f>'Pilot Car'!J41</f>
        <v>0</v>
      </c>
      <c r="H41" s="3"/>
      <c r="I41" s="117">
        <f>((B41*$J$4)+C41+E41+F41+G41)*H41</f>
        <v>0</v>
      </c>
      <c r="J41" s="118">
        <f t="shared" si="4"/>
        <v>0</v>
      </c>
    </row>
    <row r="42" spans="1:14">
      <c r="A42" s="4" t="s">
        <v>46</v>
      </c>
      <c r="B42" s="115">
        <f>'SRCE Eqipment'!C42+'Davis-Bacon Wages'!K42</f>
        <v>269.89127999999999</v>
      </c>
      <c r="C42" s="115">
        <f t="shared" si="2"/>
        <v>0</v>
      </c>
      <c r="D42" s="115">
        <v>0</v>
      </c>
      <c r="E42" s="115">
        <f>AssemblyDisassembly!D42</f>
        <v>0</v>
      </c>
      <c r="F42" s="116">
        <v>0</v>
      </c>
      <c r="G42" s="117">
        <f>'Pilot Car'!J42</f>
        <v>0</v>
      </c>
      <c r="H42" s="3"/>
      <c r="I42" s="117">
        <f>((B42*$J$4)+C42+E42+F42+G42)*H42</f>
        <v>0</v>
      </c>
      <c r="J42" s="118">
        <f t="shared" si="4"/>
        <v>0</v>
      </c>
    </row>
    <row r="43" spans="1:14">
      <c r="A43" s="5" t="s">
        <v>47</v>
      </c>
      <c r="B43" s="115">
        <f>'RSM Equipment'!E43+'Davis-Bacon Wages'!K43</f>
        <v>93.745989999999992</v>
      </c>
      <c r="C43" s="115">
        <f t="shared" si="2"/>
        <v>0</v>
      </c>
      <c r="D43" s="115">
        <f t="shared" si="5"/>
        <v>0</v>
      </c>
      <c r="E43" s="115">
        <f>AssemblyDisassembly!D43</f>
        <v>0</v>
      </c>
      <c r="F43" s="116">
        <v>0</v>
      </c>
      <c r="G43" s="117">
        <f>'Pilot Car'!J43</f>
        <v>0</v>
      </c>
      <c r="H43" s="3"/>
      <c r="I43" s="117">
        <f t="shared" si="6"/>
        <v>0</v>
      </c>
      <c r="J43" s="118">
        <f t="shared" si="4"/>
        <v>0</v>
      </c>
    </row>
    <row r="44" spans="1:14">
      <c r="A44" s="4" t="s">
        <v>48</v>
      </c>
      <c r="B44" s="115">
        <f>'RSM Equipment'!E44+'Davis-Bacon Wages'!K44</f>
        <v>93.745989999999992</v>
      </c>
      <c r="C44" s="115">
        <f t="shared" si="2"/>
        <v>0</v>
      </c>
      <c r="D44" s="115">
        <f t="shared" si="5"/>
        <v>0</v>
      </c>
      <c r="E44" s="115">
        <f>AssemblyDisassembly!D44</f>
        <v>0</v>
      </c>
      <c r="F44" s="116">
        <v>0</v>
      </c>
      <c r="G44" s="117">
        <f>'Pilot Car'!J44</f>
        <v>0</v>
      </c>
      <c r="H44" s="3"/>
      <c r="I44" s="117">
        <f t="shared" si="6"/>
        <v>0</v>
      </c>
      <c r="J44" s="118">
        <f t="shared" si="4"/>
        <v>0</v>
      </c>
    </row>
    <row r="45" spans="1:14">
      <c r="A45" s="5" t="s">
        <v>49</v>
      </c>
      <c r="B45" s="115">
        <f>'RSM Equipment'!E45+'Davis-Bacon Wages'!K45</f>
        <v>93.745989999999992</v>
      </c>
      <c r="C45" s="115">
        <f t="shared" si="2"/>
        <v>0</v>
      </c>
      <c r="D45" s="115">
        <f t="shared" si="5"/>
        <v>0</v>
      </c>
      <c r="E45" s="115">
        <f>AssemblyDisassembly!D45</f>
        <v>0</v>
      </c>
      <c r="F45" s="116">
        <v>0</v>
      </c>
      <c r="G45" s="117">
        <f>'Pilot Car'!J45</f>
        <v>0</v>
      </c>
      <c r="H45" s="3"/>
      <c r="I45" s="117">
        <f t="shared" si="6"/>
        <v>0</v>
      </c>
      <c r="J45" s="118">
        <f t="shared" si="4"/>
        <v>0</v>
      </c>
    </row>
    <row r="46" spans="1:14">
      <c r="A46" s="5" t="s">
        <v>50</v>
      </c>
      <c r="B46" s="115">
        <f>'RSM Equipment'!E46+'Davis-Bacon Wages'!K46</f>
        <v>93.745989999999992</v>
      </c>
      <c r="C46" s="115">
        <f t="shared" si="2"/>
        <v>0</v>
      </c>
      <c r="D46" s="115">
        <f t="shared" si="5"/>
        <v>0</v>
      </c>
      <c r="E46" s="115">
        <f>AssemblyDisassembly!D46</f>
        <v>0</v>
      </c>
      <c r="F46" s="116">
        <v>0</v>
      </c>
      <c r="G46" s="117">
        <f>'Pilot Car'!J46</f>
        <v>0</v>
      </c>
      <c r="H46" s="3"/>
      <c r="I46" s="117">
        <f t="shared" si="6"/>
        <v>0</v>
      </c>
      <c r="J46" s="118">
        <f t="shared" si="4"/>
        <v>0</v>
      </c>
    </row>
    <row r="47" spans="1:14">
      <c r="A47" s="5" t="s">
        <v>51</v>
      </c>
      <c r="B47" s="115">
        <f>'RSM Equipment'!E47+'Davis-Bacon Wages'!K47</f>
        <v>145.06592000000001</v>
      </c>
      <c r="C47" s="115">
        <f t="shared" si="2"/>
        <v>0</v>
      </c>
      <c r="D47" s="115">
        <v>0</v>
      </c>
      <c r="E47" s="115">
        <f>AssemblyDisassembly!D47</f>
        <v>0</v>
      </c>
      <c r="F47" s="116">
        <v>0</v>
      </c>
      <c r="G47" s="117">
        <f>'Pilot Car'!J47</f>
        <v>0</v>
      </c>
      <c r="H47" s="3"/>
      <c r="I47" s="117">
        <f>((B47*$J$4)+C47+E47+F47+G47)*H47</f>
        <v>0</v>
      </c>
      <c r="J47" s="118">
        <f t="shared" si="4"/>
        <v>0</v>
      </c>
    </row>
    <row r="48" spans="1:14" ht="15.75" thickBot="1">
      <c r="A48" s="5" t="s">
        <v>52</v>
      </c>
      <c r="B48" s="115">
        <f>'RSM Equipment'!E48+'Davis-Bacon Wages'!K48</f>
        <v>378.96591999999998</v>
      </c>
      <c r="C48" s="115">
        <f t="shared" si="2"/>
        <v>0</v>
      </c>
      <c r="D48" s="115">
        <v>0</v>
      </c>
      <c r="E48" s="115">
        <f>AssemblyDisassembly!D48</f>
        <v>0</v>
      </c>
      <c r="F48" s="116">
        <v>0</v>
      </c>
      <c r="G48" s="117">
        <f>'Pilot Car'!J48</f>
        <v>0</v>
      </c>
      <c r="H48" s="3"/>
      <c r="I48" s="117">
        <f>((B48*$J$4)+C48+E48+F48+G48)*H48</f>
        <v>0</v>
      </c>
      <c r="J48" s="118">
        <f t="shared" si="4"/>
        <v>0</v>
      </c>
    </row>
    <row r="49" spans="1:15" ht="16.5" thickBot="1">
      <c r="A49" s="13" t="s">
        <v>53</v>
      </c>
      <c r="B49" s="120"/>
      <c r="C49" s="120"/>
      <c r="D49" s="120"/>
      <c r="E49" s="120"/>
      <c r="F49" s="123"/>
      <c r="G49" s="121"/>
      <c r="H49" s="124"/>
      <c r="I49" s="121"/>
      <c r="J49" s="122"/>
    </row>
    <row r="50" spans="1:15">
      <c r="A50" s="7">
        <v>725</v>
      </c>
      <c r="B50" s="115">
        <f>'RSM Equipment'!E50+'Davis-Bacon Wages'!K50</f>
        <v>108.88598999999999</v>
      </c>
      <c r="C50" s="115">
        <f>IF($J$3&gt;0,B50,0)</f>
        <v>0</v>
      </c>
      <c r="D50" s="115">
        <f t="shared" ref="D50:D56" si="7">IF(J$3&gt;50, B50,0)</f>
        <v>0</v>
      </c>
      <c r="E50" s="115">
        <f>AssemblyDisassembly!D50</f>
        <v>0</v>
      </c>
      <c r="F50" s="116">
        <v>0</v>
      </c>
      <c r="G50" s="117">
        <f>'Pilot Car'!J50</f>
        <v>0</v>
      </c>
      <c r="H50" s="3"/>
      <c r="I50" s="117">
        <f>((B50*$J$4)+C50+(D50*J$4)+E50+F50+G50)*H50</f>
        <v>0</v>
      </c>
      <c r="J50" s="118">
        <f>I50*2</f>
        <v>0</v>
      </c>
    </row>
    <row r="51" spans="1:15">
      <c r="A51" s="7">
        <v>740</v>
      </c>
      <c r="B51" s="115">
        <f>'RSM Equipment'!E51+'Davis-Bacon Wages'!K51</f>
        <v>143.26598999999999</v>
      </c>
      <c r="C51" s="115">
        <f>IF($J$3&gt;0,B51,0)</f>
        <v>0</v>
      </c>
      <c r="D51" s="115">
        <f t="shared" si="7"/>
        <v>0</v>
      </c>
      <c r="E51" s="115">
        <f>AssemblyDisassembly!D51</f>
        <v>0</v>
      </c>
      <c r="F51" s="116">
        <v>25</v>
      </c>
      <c r="G51" s="117">
        <f>'Pilot Car'!J51</f>
        <v>0</v>
      </c>
      <c r="H51" s="3"/>
      <c r="I51" s="117">
        <f>((B51*$J$4)+C51+(D51*J$4)+E51+F51+G51)*H51</f>
        <v>0</v>
      </c>
      <c r="J51" s="118">
        <f t="shared" si="4"/>
        <v>0</v>
      </c>
    </row>
    <row r="52" spans="1:15">
      <c r="A52" s="4" t="s">
        <v>54</v>
      </c>
      <c r="B52" s="115">
        <f>'RSM Equipment'!E52+'Davis-Bacon Wages'!K52</f>
        <v>143.26598999999999</v>
      </c>
      <c r="C52" s="115">
        <f>IF($J$3&gt;0,B52,0)</f>
        <v>0</v>
      </c>
      <c r="D52" s="115">
        <f t="shared" si="7"/>
        <v>0</v>
      </c>
      <c r="E52" s="115">
        <f>AssemblyDisassembly!D52</f>
        <v>0</v>
      </c>
      <c r="F52" s="116">
        <v>25</v>
      </c>
      <c r="G52" s="117">
        <f>'Pilot Car'!J52</f>
        <v>0</v>
      </c>
      <c r="H52" s="3"/>
      <c r="I52" s="117">
        <f>((B52*$J$4)+C52+(D52*J$4)+E52+F52+G52)*H52</f>
        <v>0</v>
      </c>
      <c r="J52" s="118">
        <f t="shared" si="4"/>
        <v>0</v>
      </c>
    </row>
    <row r="53" spans="1:15">
      <c r="A53" s="4" t="s">
        <v>55</v>
      </c>
      <c r="B53" s="115">
        <f>'RSM Equipment'!E53+'Davis-Bacon Wages'!K53</f>
        <v>168.99598999999998</v>
      </c>
      <c r="C53" s="115">
        <f t="shared" si="2"/>
        <v>0</v>
      </c>
      <c r="D53" s="115">
        <f t="shared" si="7"/>
        <v>0</v>
      </c>
      <c r="E53" s="115">
        <f>AssemblyDisassembly!D53</f>
        <v>158400</v>
      </c>
      <c r="F53" s="116">
        <v>25</v>
      </c>
      <c r="G53" s="117">
        <f>'Pilot Car'!J53</f>
        <v>0</v>
      </c>
      <c r="H53" s="3"/>
      <c r="I53" s="119">
        <f>((((B53*$J$4)+C53+(D53*$J$4)+F53+G53)*2)+E53)*H53</f>
        <v>0</v>
      </c>
      <c r="J53" s="118">
        <f>IF(H53&gt;0,I53*2-(H53*E53),0)</f>
        <v>0</v>
      </c>
      <c r="N53" s="76"/>
      <c r="O53" s="76"/>
    </row>
    <row r="54" spans="1:15">
      <c r="A54" s="4" t="s">
        <v>56</v>
      </c>
      <c r="B54" s="115">
        <f>'RSM Equipment'!E54+'Davis-Bacon Wages'!K54</f>
        <v>168.99598999999998</v>
      </c>
      <c r="C54" s="115">
        <f t="shared" si="2"/>
        <v>0</v>
      </c>
      <c r="D54" s="115">
        <f t="shared" si="7"/>
        <v>0</v>
      </c>
      <c r="E54" s="115">
        <f>AssemblyDisassembly!D54</f>
        <v>0</v>
      </c>
      <c r="F54" s="116">
        <v>0</v>
      </c>
      <c r="G54" s="117">
        <f>'Pilot Car'!J54</f>
        <v>0</v>
      </c>
      <c r="H54" s="3"/>
      <c r="I54" s="117">
        <f>((B54*$J$4)+C54+(D54*J$4)+E54+F54+G54)*H54</f>
        <v>0</v>
      </c>
      <c r="J54" s="118">
        <f t="shared" si="4"/>
        <v>0</v>
      </c>
    </row>
    <row r="55" spans="1:15">
      <c r="A55" s="4" t="s">
        <v>57</v>
      </c>
      <c r="B55" s="115">
        <f>'RSM Equipment'!E55+'Davis-Bacon Wages'!K55</f>
        <v>168.99598999999998</v>
      </c>
      <c r="C55" s="115">
        <f t="shared" si="2"/>
        <v>0</v>
      </c>
      <c r="D55" s="115">
        <f t="shared" si="7"/>
        <v>0</v>
      </c>
      <c r="E55" s="115">
        <f>AssemblyDisassembly!D55</f>
        <v>0</v>
      </c>
      <c r="F55" s="116">
        <v>25</v>
      </c>
      <c r="G55" s="117">
        <f>'Pilot Car'!J55</f>
        <v>0</v>
      </c>
      <c r="H55" s="3"/>
      <c r="I55" s="117">
        <f>((B55*$J$4)+C55+(D55*J$4)+E55+F55+G55)*H55</f>
        <v>0</v>
      </c>
      <c r="J55" s="118">
        <f t="shared" si="4"/>
        <v>0</v>
      </c>
    </row>
    <row r="56" spans="1:15" ht="15.75" thickBot="1">
      <c r="A56" s="12" t="s">
        <v>58</v>
      </c>
      <c r="B56" s="115">
        <f>'SRCE Eqipment'!C56+'Davis-Bacon Wages'!K56</f>
        <v>163.87849</v>
      </c>
      <c r="C56" s="115">
        <f t="shared" si="2"/>
        <v>0</v>
      </c>
      <c r="D56" s="115">
        <f t="shared" si="7"/>
        <v>0</v>
      </c>
      <c r="E56" s="115">
        <f>AssemblyDisassembly!D56</f>
        <v>0</v>
      </c>
      <c r="F56" s="116">
        <v>0</v>
      </c>
      <c r="G56" s="117">
        <f>'Pilot Car'!J56</f>
        <v>0</v>
      </c>
      <c r="H56" s="3"/>
      <c r="I56" s="117">
        <f>((B56*$J$4)+C56+(D56*J$4)+E56+F56+G56)*H56</f>
        <v>0</v>
      </c>
      <c r="J56" s="118">
        <f t="shared" si="4"/>
        <v>0</v>
      </c>
    </row>
    <row r="57" spans="1:15" ht="15.75" thickBot="1">
      <c r="A57" s="156" t="s">
        <v>59</v>
      </c>
      <c r="B57" s="120"/>
      <c r="C57" s="120"/>
      <c r="D57" s="120"/>
      <c r="E57" s="120"/>
      <c r="F57" s="123"/>
      <c r="G57" s="121"/>
      <c r="H57" s="124"/>
      <c r="I57" s="121"/>
      <c r="J57" s="122"/>
    </row>
    <row r="58" spans="1:15">
      <c r="A58" s="157" t="s">
        <v>60</v>
      </c>
      <c r="B58" s="115">
        <f>'RSM Equipment'!E58+'Davis-Bacon Wages'!K58</f>
        <v>108.88598999999999</v>
      </c>
      <c r="C58" s="115">
        <f t="shared" si="2"/>
        <v>0</v>
      </c>
      <c r="D58" s="115">
        <f>IF(J$3&gt;50, B58,0)</f>
        <v>0</v>
      </c>
      <c r="E58" s="115">
        <f>AssemblyDisassembly!D58</f>
        <v>0</v>
      </c>
      <c r="F58" s="116">
        <v>0</v>
      </c>
      <c r="G58" s="117">
        <f>'Pilot Car'!J58</f>
        <v>0</v>
      </c>
      <c r="H58" s="3"/>
      <c r="I58" s="117">
        <f>((B58*$J$4)+C58+(D58*J$4)+E58+F58+G58)*H58</f>
        <v>0</v>
      </c>
      <c r="J58" s="118">
        <f t="shared" si="4"/>
        <v>0</v>
      </c>
    </row>
    <row r="59" spans="1:15">
      <c r="A59" s="125" t="s">
        <v>61</v>
      </c>
      <c r="B59" s="115">
        <f>'RSM Equipment'!E59+'Davis-Bacon Wages'!K59</f>
        <v>89.747225</v>
      </c>
      <c r="C59" s="115">
        <f t="shared" si="2"/>
        <v>0</v>
      </c>
      <c r="D59" s="115">
        <f>IF(J$3&gt;50, B59,0)</f>
        <v>0</v>
      </c>
      <c r="E59" s="115">
        <f>AssemblyDisassembly!D59</f>
        <v>0</v>
      </c>
      <c r="F59" s="116">
        <v>0</v>
      </c>
      <c r="G59" s="117">
        <f>'Pilot Car'!J59</f>
        <v>0</v>
      </c>
      <c r="H59" s="3"/>
      <c r="I59" s="117">
        <f>((B59*$J$4)+C59+E59+F59+G59)*H59</f>
        <v>0</v>
      </c>
      <c r="J59" s="118">
        <f t="shared" si="4"/>
        <v>0</v>
      </c>
    </row>
    <row r="60" spans="1:15">
      <c r="A60" s="126" t="s">
        <v>62</v>
      </c>
      <c r="B60" s="115">
        <f>'RSM Equipment'!E60+'Davis-Bacon Wages'!K60</f>
        <v>168.99598999999998</v>
      </c>
      <c r="C60" s="115">
        <f t="shared" si="2"/>
        <v>0</v>
      </c>
      <c r="D60" s="115">
        <f>IF(J$3&gt;50, B60,0)</f>
        <v>0</v>
      </c>
      <c r="E60" s="115">
        <f>AssemblyDisassembly!D60</f>
        <v>0</v>
      </c>
      <c r="F60" s="116">
        <v>0</v>
      </c>
      <c r="G60" s="117">
        <f>'Pilot Car'!J60</f>
        <v>0</v>
      </c>
      <c r="H60" s="3"/>
      <c r="I60" s="117">
        <f>((B60*$J$4)+C60+E60+F60+G60)*H60</f>
        <v>0</v>
      </c>
      <c r="J60" s="118">
        <f t="shared" si="4"/>
        <v>0</v>
      </c>
    </row>
    <row r="61" spans="1:15">
      <c r="A61" s="126" t="s">
        <v>63</v>
      </c>
      <c r="B61" s="115">
        <f>'RSM Equipment'!E61+'Davis-Bacon Wages'!K61</f>
        <v>143.26598999999999</v>
      </c>
      <c r="C61" s="115">
        <f t="shared" si="2"/>
        <v>0</v>
      </c>
      <c r="D61" s="115">
        <f>IF(J$3&gt;50, B61,0)</f>
        <v>0</v>
      </c>
      <c r="E61" s="115">
        <f>AssemblyDisassembly!D61</f>
        <v>0</v>
      </c>
      <c r="F61" s="116">
        <v>0</v>
      </c>
      <c r="G61" s="117">
        <f>'Pilot Car'!J61</f>
        <v>0</v>
      </c>
      <c r="H61" s="3"/>
      <c r="I61" s="117">
        <f>((B61*$J$4)+C61+E61+F61+G61)*H61</f>
        <v>0</v>
      </c>
      <c r="J61" s="118">
        <f t="shared" si="4"/>
        <v>0</v>
      </c>
    </row>
    <row r="62" spans="1:15">
      <c r="A62" s="126" t="s">
        <v>64</v>
      </c>
      <c r="B62" s="115">
        <f>'RSM Equipment'!E62+'Davis-Bacon Wages'!K62</f>
        <v>93.745989999999992</v>
      </c>
      <c r="C62" s="115">
        <f t="shared" si="2"/>
        <v>0</v>
      </c>
      <c r="D62" s="115">
        <f>IF(J$3&gt;50, B62,0)</f>
        <v>0</v>
      </c>
      <c r="E62" s="115">
        <f>AssemblyDisassembly!D62</f>
        <v>0</v>
      </c>
      <c r="F62" s="116">
        <v>0</v>
      </c>
      <c r="G62" s="117">
        <f>'Pilot Car'!J62</f>
        <v>0</v>
      </c>
      <c r="H62" s="3"/>
      <c r="I62" s="117">
        <f>((B62*$J$4)+C62+E62+F62+G62)*H62</f>
        <v>0</v>
      </c>
      <c r="J62" s="127">
        <f t="shared" si="4"/>
        <v>0</v>
      </c>
    </row>
    <row r="63" spans="1:15">
      <c r="A63" s="128"/>
      <c r="B63" s="115"/>
      <c r="C63" s="115"/>
      <c r="D63" s="115"/>
      <c r="E63" s="115"/>
      <c r="F63" s="129"/>
      <c r="G63" s="130"/>
      <c r="H63" s="131">
        <f>SUM(H7:H62)</f>
        <v>0</v>
      </c>
      <c r="I63" s="132"/>
      <c r="J63" s="133">
        <f>SUM(J7:J62)</f>
        <v>0</v>
      </c>
    </row>
    <row r="64" spans="1:15">
      <c r="A64" s="128"/>
      <c r="B64" s="134"/>
      <c r="C64" s="134"/>
      <c r="D64" s="134"/>
      <c r="E64" s="134"/>
      <c r="F64" s="134"/>
      <c r="G64" s="132"/>
      <c r="H64" s="135"/>
      <c r="I64" s="136"/>
      <c r="J64" s="137"/>
    </row>
    <row r="65" spans="1:10">
      <c r="A65" s="138" t="s">
        <v>65</v>
      </c>
      <c r="B65" s="139"/>
      <c r="C65" s="139"/>
      <c r="D65" s="139"/>
      <c r="E65" s="139"/>
      <c r="F65" s="139"/>
      <c r="G65" s="140"/>
      <c r="H65" s="135"/>
      <c r="I65" s="136"/>
      <c r="J65" s="137"/>
    </row>
    <row r="66" spans="1:10">
      <c r="A66" s="141" t="s">
        <v>66</v>
      </c>
      <c r="B66" s="139"/>
      <c r="C66" s="139"/>
      <c r="D66" s="139"/>
      <c r="E66" s="139"/>
      <c r="F66" s="139"/>
      <c r="G66" s="140"/>
      <c r="H66" s="135"/>
      <c r="I66" s="136"/>
      <c r="J66" s="137"/>
    </row>
    <row r="67" spans="1:10">
      <c r="A67" s="142" t="s">
        <v>67</v>
      </c>
      <c r="B67" s="143"/>
      <c r="C67" s="144"/>
      <c r="D67" s="144"/>
      <c r="E67" s="145"/>
      <c r="F67" s="144"/>
      <c r="G67" s="146"/>
      <c r="H67" s="147"/>
      <c r="I67" s="148"/>
      <c r="J67" s="149"/>
    </row>
    <row r="68" spans="1:10">
      <c r="A68" s="142" t="s">
        <v>68</v>
      </c>
      <c r="B68" s="143"/>
      <c r="C68" s="144"/>
      <c r="D68" s="144"/>
      <c r="E68" s="145"/>
      <c r="F68" s="144"/>
      <c r="G68" s="146"/>
      <c r="H68" s="147"/>
      <c r="I68" s="148"/>
      <c r="J68" s="149"/>
    </row>
    <row r="69" spans="1:10">
      <c r="A69" s="142" t="s">
        <v>69</v>
      </c>
      <c r="B69" s="143"/>
      <c r="C69" s="144"/>
      <c r="D69" s="144"/>
      <c r="E69" s="145"/>
      <c r="F69" s="144"/>
      <c r="G69" s="146"/>
      <c r="H69" s="147"/>
      <c r="I69" s="148"/>
      <c r="J69" s="149"/>
    </row>
    <row r="70" spans="1:10">
      <c r="A70" s="142" t="s">
        <v>134</v>
      </c>
      <c r="B70" s="143"/>
      <c r="C70" s="144"/>
      <c r="D70" s="144"/>
      <c r="E70" s="145"/>
      <c r="F70" s="144"/>
      <c r="G70" s="146"/>
      <c r="H70" s="147"/>
      <c r="I70" s="148"/>
      <c r="J70" s="149"/>
    </row>
    <row r="71" spans="1:10">
      <c r="A71" s="142" t="s">
        <v>70</v>
      </c>
      <c r="B71" s="143"/>
      <c r="C71" s="144"/>
      <c r="D71" s="144"/>
      <c r="E71" s="145"/>
      <c r="F71" s="144"/>
      <c r="G71" s="146"/>
      <c r="H71" s="147"/>
      <c r="I71" s="148"/>
      <c r="J71" s="149"/>
    </row>
    <row r="72" spans="1:10">
      <c r="A72" s="142" t="s">
        <v>71</v>
      </c>
      <c r="B72" s="143"/>
      <c r="C72" s="144"/>
      <c r="D72" s="144"/>
      <c r="E72" s="145"/>
      <c r="F72" s="144"/>
      <c r="G72" s="146"/>
      <c r="H72" s="147"/>
      <c r="I72" s="148"/>
      <c r="J72" s="149"/>
    </row>
    <row r="73" spans="1:10">
      <c r="A73" s="142" t="s">
        <v>72</v>
      </c>
      <c r="B73" s="143"/>
      <c r="C73" s="144"/>
      <c r="D73" s="144"/>
      <c r="E73" s="145"/>
      <c r="F73" s="144"/>
      <c r="G73" s="146"/>
      <c r="H73" s="147"/>
      <c r="I73" s="148"/>
      <c r="J73" s="149"/>
    </row>
    <row r="74" spans="1:10">
      <c r="A74" s="142" t="s">
        <v>142</v>
      </c>
      <c r="B74" s="143"/>
      <c r="C74" s="144"/>
      <c r="D74" s="144"/>
      <c r="E74" s="145"/>
      <c r="F74" s="144"/>
      <c r="G74" s="146"/>
      <c r="H74" s="147"/>
      <c r="I74" s="148"/>
      <c r="J74" s="149"/>
    </row>
    <row r="75" spans="1:10">
      <c r="A75" s="208" t="s">
        <v>140</v>
      </c>
      <c r="B75" s="143"/>
      <c r="C75" s="144"/>
      <c r="D75" s="144"/>
      <c r="E75" s="145"/>
      <c r="F75" s="144"/>
      <c r="G75" s="146"/>
      <c r="H75" s="147"/>
      <c r="I75" s="148"/>
      <c r="J75" s="149"/>
    </row>
    <row r="76" spans="1:10">
      <c r="A76" s="142" t="s">
        <v>138</v>
      </c>
      <c r="B76" s="144"/>
      <c r="C76" s="144"/>
      <c r="D76" s="144"/>
      <c r="E76" s="145"/>
      <c r="F76" s="144"/>
      <c r="G76" s="146"/>
      <c r="H76" s="147"/>
      <c r="I76" s="148"/>
      <c r="J76" s="149"/>
    </row>
    <row r="77" spans="1:10">
      <c r="A77" s="142" t="s">
        <v>150</v>
      </c>
      <c r="B77" s="200"/>
      <c r="C77" s="200"/>
      <c r="D77" s="200"/>
      <c r="E77" s="200"/>
      <c r="F77" s="200"/>
      <c r="G77" s="201"/>
      <c r="H77" s="147"/>
      <c r="I77" s="148"/>
      <c r="J77" s="149"/>
    </row>
    <row r="78" spans="1:10">
      <c r="A78" s="141" t="s">
        <v>152</v>
      </c>
      <c r="B78" s="202"/>
      <c r="C78" s="202"/>
      <c r="D78" s="202"/>
      <c r="E78" s="202"/>
      <c r="F78" s="202"/>
      <c r="G78" s="203"/>
      <c r="H78" s="135"/>
      <c r="I78" s="136"/>
      <c r="J78" s="137"/>
    </row>
    <row r="79" spans="1:10" ht="15.75" thickBot="1">
      <c r="A79" s="150" t="s">
        <v>151</v>
      </c>
      <c r="B79" s="151"/>
      <c r="C79" s="151"/>
      <c r="D79" s="151"/>
      <c r="E79" s="151"/>
      <c r="F79" s="151"/>
      <c r="G79" s="204"/>
      <c r="H79" s="205"/>
      <c r="I79" s="206"/>
      <c r="J79" s="207"/>
    </row>
  </sheetData>
  <sheetProtection algorithmName="SHA-512" hashValue="ezIJ4s7vo2y5z1hd20gHj7Rc+IYKti5N4X0LE7FASXieRDDdH8GIuhinKEl99xa1YVF6QWNOgRPdjXqqejDFWQ==" saltValue="9IDKWIa1IzxfI8UN3nIRVg==" spinCount="100000" sheet="1" objects="1" scenarios="1"/>
  <mergeCells count="5">
    <mergeCell ref="A1:J1"/>
    <mergeCell ref="B2:I2"/>
    <mergeCell ref="G4:I4"/>
    <mergeCell ref="A4:F4"/>
    <mergeCell ref="B3:I3"/>
  </mergeCells>
  <phoneticPr fontId="27" type="noConversion"/>
  <printOptions horizontalCentered="1" verticalCentered="1"/>
  <pageMargins left="0.7" right="0.7" top="0.75" bottom="0.75" header="0.3" footer="0.3"/>
  <pageSetup scale="52" orientation="portrait" r:id="rId1"/>
  <headerFooter>
    <oddFooter>&amp;L&amp;Z&amp;F&amp;R&amp;D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S65"/>
  <sheetViews>
    <sheetView view="pageBreakPreview" zoomScale="115" zoomScaleNormal="100" zoomScaleSheetLayoutView="115" workbookViewId="0">
      <selection activeCell="A4" sqref="A4:D4"/>
    </sheetView>
  </sheetViews>
  <sheetFormatPr defaultColWidth="9.140625" defaultRowHeight="15"/>
  <cols>
    <col min="1" max="1" width="55.85546875" customWidth="1"/>
    <col min="2" max="3" width="12.7109375" style="168" customWidth="1"/>
    <col min="4" max="4" width="12.42578125" customWidth="1"/>
    <col min="18" max="18" width="16.7109375" customWidth="1"/>
  </cols>
  <sheetData>
    <row r="1" spans="1:19">
      <c r="A1" s="160"/>
      <c r="B1" s="213"/>
      <c r="C1" s="213"/>
      <c r="D1" s="154"/>
      <c r="S1" s="16"/>
    </row>
    <row r="2" spans="1:19">
      <c r="A2" s="107"/>
      <c r="D2" s="155"/>
    </row>
    <row r="3" spans="1:19">
      <c r="A3" s="107"/>
      <c r="D3" s="155"/>
    </row>
    <row r="4" spans="1:19">
      <c r="A4" s="279" t="s">
        <v>109</v>
      </c>
      <c r="B4" s="280"/>
      <c r="C4" s="280"/>
      <c r="D4" s="281"/>
    </row>
    <row r="5" spans="1:19" ht="15.75" thickBot="1">
      <c r="A5" s="194" t="s">
        <v>2</v>
      </c>
      <c r="B5" s="168" t="s">
        <v>74</v>
      </c>
      <c r="C5" s="168" t="s">
        <v>75</v>
      </c>
      <c r="D5" s="260" t="s">
        <v>108</v>
      </c>
    </row>
    <row r="6" spans="1:19" ht="16.5" thickBot="1">
      <c r="A6" s="255" t="s">
        <v>11</v>
      </c>
      <c r="B6" s="256"/>
      <c r="C6" s="256"/>
      <c r="D6" s="257"/>
    </row>
    <row r="7" spans="1:19">
      <c r="A7" s="1" t="s">
        <v>12</v>
      </c>
      <c r="B7" s="168">
        <v>0</v>
      </c>
      <c r="C7" s="168">
        <v>0</v>
      </c>
      <c r="D7" s="82">
        <f>C7+B7</f>
        <v>0</v>
      </c>
    </row>
    <row r="8" spans="1:19">
      <c r="A8" s="4" t="s">
        <v>13</v>
      </c>
      <c r="B8" s="168">
        <v>0</v>
      </c>
      <c r="C8" s="168">
        <v>0</v>
      </c>
      <c r="D8" s="82">
        <f t="shared" ref="D8:D62" si="0">C8+B8</f>
        <v>0</v>
      </c>
    </row>
    <row r="9" spans="1:19">
      <c r="A9" s="4" t="s">
        <v>14</v>
      </c>
      <c r="B9" s="168">
        <v>0</v>
      </c>
      <c r="C9" s="168">
        <v>0</v>
      </c>
      <c r="D9" s="82">
        <f t="shared" si="0"/>
        <v>0</v>
      </c>
    </row>
    <row r="10" spans="1:19">
      <c r="A10" s="4" t="s">
        <v>15</v>
      </c>
      <c r="B10" s="168">
        <v>0</v>
      </c>
      <c r="C10" s="168">
        <v>0</v>
      </c>
      <c r="D10" s="82">
        <f t="shared" si="0"/>
        <v>0</v>
      </c>
    </row>
    <row r="11" spans="1:19">
      <c r="A11" s="4" t="s">
        <v>16</v>
      </c>
      <c r="B11" s="168">
        <v>59400</v>
      </c>
      <c r="C11" s="168">
        <f>B11</f>
        <v>59400</v>
      </c>
      <c r="D11" s="82">
        <f t="shared" si="0"/>
        <v>118800</v>
      </c>
    </row>
    <row r="12" spans="1:19" ht="15.75" thickBot="1">
      <c r="A12" s="5" t="s">
        <v>17</v>
      </c>
      <c r="B12" s="168">
        <v>107893</v>
      </c>
      <c r="C12" s="168">
        <v>107893</v>
      </c>
      <c r="D12" s="82">
        <f t="shared" si="0"/>
        <v>215786</v>
      </c>
    </row>
    <row r="13" spans="1:19" ht="16.5" thickBot="1">
      <c r="A13" s="185" t="s">
        <v>18</v>
      </c>
      <c r="B13" s="256"/>
      <c r="C13" s="256"/>
      <c r="D13" s="258"/>
    </row>
    <row r="14" spans="1:19">
      <c r="A14" s="6" t="s">
        <v>19</v>
      </c>
      <c r="B14" s="168">
        <v>0</v>
      </c>
      <c r="C14" s="168">
        <v>0</v>
      </c>
      <c r="D14" s="82">
        <f t="shared" si="0"/>
        <v>0</v>
      </c>
    </row>
    <row r="15" spans="1:19" ht="15.75" thickBot="1">
      <c r="A15" s="7" t="s">
        <v>20</v>
      </c>
      <c r="B15" s="168">
        <v>0</v>
      </c>
      <c r="C15" s="168">
        <v>0</v>
      </c>
      <c r="D15" s="82">
        <f t="shared" si="0"/>
        <v>0</v>
      </c>
    </row>
    <row r="16" spans="1:19" ht="16.5" thickBot="1">
      <c r="A16" s="185" t="s">
        <v>21</v>
      </c>
      <c r="B16" s="256"/>
      <c r="C16" s="256"/>
      <c r="D16" s="258"/>
    </row>
    <row r="17" spans="1:4">
      <c r="A17" s="4" t="s">
        <v>22</v>
      </c>
      <c r="B17" s="168">
        <v>0</v>
      </c>
      <c r="C17" s="168">
        <v>0</v>
      </c>
      <c r="D17" s="82">
        <f t="shared" si="0"/>
        <v>0</v>
      </c>
    </row>
    <row r="18" spans="1:4">
      <c r="A18" s="4" t="s">
        <v>23</v>
      </c>
      <c r="B18" s="168">
        <v>0</v>
      </c>
      <c r="C18" s="168">
        <v>0</v>
      </c>
      <c r="D18" s="82">
        <f t="shared" si="0"/>
        <v>0</v>
      </c>
    </row>
    <row r="19" spans="1:4">
      <c r="A19" s="8" t="s">
        <v>24</v>
      </c>
      <c r="B19" s="168">
        <v>0</v>
      </c>
      <c r="C19" s="168">
        <v>0</v>
      </c>
      <c r="D19" s="82">
        <f t="shared" si="0"/>
        <v>0</v>
      </c>
    </row>
    <row r="20" spans="1:4" ht="15.75" thickBot="1">
      <c r="A20" s="9" t="s">
        <v>25</v>
      </c>
      <c r="B20" s="168">
        <v>46860</v>
      </c>
      <c r="C20" s="168">
        <f>B20</f>
        <v>46860</v>
      </c>
      <c r="D20" s="82">
        <f t="shared" si="0"/>
        <v>93720</v>
      </c>
    </row>
    <row r="21" spans="1:4" ht="16.5" thickBot="1">
      <c r="A21" s="185" t="s">
        <v>26</v>
      </c>
      <c r="B21" s="256"/>
      <c r="C21" s="256"/>
      <c r="D21" s="258"/>
    </row>
    <row r="22" spans="1:4">
      <c r="A22" s="8" t="s">
        <v>27</v>
      </c>
      <c r="B22" s="168">
        <v>0</v>
      </c>
      <c r="C22" s="168">
        <v>0</v>
      </c>
      <c r="D22" s="82">
        <f t="shared" si="0"/>
        <v>0</v>
      </c>
    </row>
    <row r="23" spans="1:4" ht="15.75" thickBot="1">
      <c r="A23" s="9" t="s">
        <v>28</v>
      </c>
      <c r="B23" s="168">
        <v>0</v>
      </c>
      <c r="C23" s="168">
        <v>0</v>
      </c>
      <c r="D23" s="82">
        <f t="shared" si="0"/>
        <v>0</v>
      </c>
    </row>
    <row r="24" spans="1:4" ht="16.5" thickBot="1">
      <c r="A24" s="185" t="s">
        <v>29</v>
      </c>
      <c r="B24" s="256"/>
      <c r="C24" s="256"/>
      <c r="D24" s="258"/>
    </row>
    <row r="25" spans="1:4">
      <c r="A25" s="8" t="s">
        <v>30</v>
      </c>
      <c r="B25" s="168">
        <v>0</v>
      </c>
      <c r="C25" s="168">
        <v>0</v>
      </c>
      <c r="D25" s="82">
        <f t="shared" si="0"/>
        <v>0</v>
      </c>
    </row>
    <row r="26" spans="1:4">
      <c r="A26" s="216" t="s">
        <v>31</v>
      </c>
      <c r="B26" s="168">
        <v>0</v>
      </c>
      <c r="C26" s="168">
        <v>0</v>
      </c>
      <c r="D26" s="82">
        <f t="shared" si="0"/>
        <v>0</v>
      </c>
    </row>
    <row r="27" spans="1:4">
      <c r="A27" s="216" t="s">
        <v>32</v>
      </c>
      <c r="B27" s="168">
        <v>0</v>
      </c>
      <c r="C27" s="168">
        <v>0</v>
      </c>
      <c r="D27" s="82">
        <f t="shared" si="0"/>
        <v>0</v>
      </c>
    </row>
    <row r="28" spans="1:4">
      <c r="A28" s="8" t="s">
        <v>33</v>
      </c>
      <c r="B28" s="168">
        <v>0</v>
      </c>
      <c r="C28" s="168">
        <v>0</v>
      </c>
      <c r="D28" s="82">
        <f t="shared" si="0"/>
        <v>0</v>
      </c>
    </row>
    <row r="29" spans="1:4" ht="15.75" thickBot="1">
      <c r="A29" s="5" t="s">
        <v>34</v>
      </c>
      <c r="B29" s="168">
        <v>55440</v>
      </c>
      <c r="C29" s="168">
        <f>B29</f>
        <v>55440</v>
      </c>
      <c r="D29" s="82">
        <f t="shared" si="0"/>
        <v>110880</v>
      </c>
    </row>
    <row r="30" spans="1:4" ht="16.5" thickBot="1">
      <c r="A30" s="185" t="s">
        <v>132</v>
      </c>
      <c r="B30" s="256"/>
      <c r="C30" s="256"/>
      <c r="D30" s="258"/>
    </row>
    <row r="31" spans="1:4">
      <c r="A31" s="8" t="s">
        <v>35</v>
      </c>
      <c r="B31" s="168">
        <v>0</v>
      </c>
      <c r="C31" s="168">
        <v>0</v>
      </c>
      <c r="D31" s="82">
        <f t="shared" si="0"/>
        <v>0</v>
      </c>
    </row>
    <row r="32" spans="1:4">
      <c r="A32" s="216" t="s">
        <v>36</v>
      </c>
      <c r="B32" s="168">
        <v>0</v>
      </c>
      <c r="C32" s="168">
        <v>0</v>
      </c>
      <c r="D32" s="82">
        <f t="shared" si="0"/>
        <v>0</v>
      </c>
    </row>
    <row r="33" spans="1:4" ht="15.75" thickBot="1">
      <c r="A33" s="217" t="s">
        <v>37</v>
      </c>
      <c r="B33" s="168">
        <v>0</v>
      </c>
      <c r="C33" s="168">
        <v>0</v>
      </c>
      <c r="D33" s="82">
        <f t="shared" si="0"/>
        <v>0</v>
      </c>
    </row>
    <row r="34" spans="1:4" ht="16.5" thickBot="1">
      <c r="A34" s="185" t="s">
        <v>38</v>
      </c>
      <c r="B34" s="256"/>
      <c r="C34" s="256"/>
      <c r="D34" s="258"/>
    </row>
    <row r="35" spans="1:4">
      <c r="A35" s="10" t="s">
        <v>39</v>
      </c>
      <c r="B35" s="168">
        <v>0</v>
      </c>
      <c r="C35" s="168">
        <v>0</v>
      </c>
      <c r="D35" s="82">
        <f t="shared" si="0"/>
        <v>0</v>
      </c>
    </row>
    <row r="36" spans="1:4">
      <c r="A36" s="218" t="s">
        <v>40</v>
      </c>
      <c r="B36" s="168">
        <v>0</v>
      </c>
      <c r="C36" s="168">
        <v>0</v>
      </c>
      <c r="D36" s="82">
        <f t="shared" si="0"/>
        <v>0</v>
      </c>
    </row>
    <row r="37" spans="1:4">
      <c r="A37" s="7" t="s">
        <v>41</v>
      </c>
      <c r="B37" s="168">
        <v>0</v>
      </c>
      <c r="C37" s="168">
        <v>0</v>
      </c>
      <c r="D37" s="82">
        <f t="shared" si="0"/>
        <v>0</v>
      </c>
    </row>
    <row r="38" spans="1:4">
      <c r="A38" s="11" t="s">
        <v>42</v>
      </c>
      <c r="B38" s="168">
        <v>0</v>
      </c>
      <c r="C38" s="168">
        <v>0</v>
      </c>
      <c r="D38" s="82">
        <f t="shared" si="0"/>
        <v>0</v>
      </c>
    </row>
    <row r="39" spans="1:4">
      <c r="A39" s="11" t="s">
        <v>43</v>
      </c>
      <c r="B39" s="168">
        <v>0</v>
      </c>
      <c r="C39" s="168">
        <v>0</v>
      </c>
      <c r="D39" s="82">
        <f t="shared" si="0"/>
        <v>0</v>
      </c>
    </row>
    <row r="40" spans="1:4">
      <c r="A40" s="11" t="s">
        <v>44</v>
      </c>
      <c r="B40" s="168">
        <v>0</v>
      </c>
      <c r="C40" s="168">
        <v>0</v>
      </c>
      <c r="D40" s="82">
        <f t="shared" si="0"/>
        <v>0</v>
      </c>
    </row>
    <row r="41" spans="1:4">
      <c r="A41" s="8" t="s">
        <v>45</v>
      </c>
      <c r="B41" s="168">
        <v>0</v>
      </c>
      <c r="C41" s="168">
        <v>0</v>
      </c>
      <c r="D41" s="82">
        <f t="shared" si="0"/>
        <v>0</v>
      </c>
    </row>
    <row r="42" spans="1:4">
      <c r="A42" s="4" t="s">
        <v>46</v>
      </c>
      <c r="B42" s="168">
        <v>0</v>
      </c>
      <c r="C42" s="168">
        <v>0</v>
      </c>
      <c r="D42" s="82">
        <f t="shared" si="0"/>
        <v>0</v>
      </c>
    </row>
    <row r="43" spans="1:4">
      <c r="A43" s="5" t="s">
        <v>47</v>
      </c>
      <c r="B43" s="168">
        <v>0</v>
      </c>
      <c r="C43" s="168">
        <v>0</v>
      </c>
      <c r="D43" s="82">
        <f t="shared" si="0"/>
        <v>0</v>
      </c>
    </row>
    <row r="44" spans="1:4">
      <c r="A44" s="4" t="s">
        <v>48</v>
      </c>
      <c r="B44" s="168">
        <v>0</v>
      </c>
      <c r="C44" s="168">
        <v>0</v>
      </c>
      <c r="D44" s="82">
        <f t="shared" si="0"/>
        <v>0</v>
      </c>
    </row>
    <row r="45" spans="1:4">
      <c r="A45" s="5" t="s">
        <v>49</v>
      </c>
      <c r="B45" s="168">
        <v>0</v>
      </c>
      <c r="C45" s="168">
        <v>0</v>
      </c>
      <c r="D45" s="82">
        <f t="shared" si="0"/>
        <v>0</v>
      </c>
    </row>
    <row r="46" spans="1:4">
      <c r="A46" s="5" t="s">
        <v>50</v>
      </c>
      <c r="B46" s="168">
        <v>0</v>
      </c>
      <c r="C46" s="168">
        <v>0</v>
      </c>
      <c r="D46" s="82">
        <f t="shared" si="0"/>
        <v>0</v>
      </c>
    </row>
    <row r="47" spans="1:4">
      <c r="A47" s="5" t="s">
        <v>51</v>
      </c>
      <c r="B47" s="168">
        <v>0</v>
      </c>
      <c r="C47" s="168">
        <v>0</v>
      </c>
      <c r="D47" s="82">
        <f t="shared" si="0"/>
        <v>0</v>
      </c>
    </row>
    <row r="48" spans="1:4" ht="15.75" thickBot="1">
      <c r="A48" s="5" t="s">
        <v>52</v>
      </c>
      <c r="B48" s="168">
        <v>0</v>
      </c>
      <c r="C48" s="168">
        <v>0</v>
      </c>
      <c r="D48" s="82">
        <f t="shared" si="0"/>
        <v>0</v>
      </c>
    </row>
    <row r="49" spans="1:4" ht="16.5" thickBot="1">
      <c r="A49" s="185" t="s">
        <v>53</v>
      </c>
      <c r="B49" s="256"/>
      <c r="C49" s="256"/>
      <c r="D49" s="258"/>
    </row>
    <row r="50" spans="1:4">
      <c r="A50" s="7">
        <v>725</v>
      </c>
      <c r="B50" s="168">
        <v>0</v>
      </c>
      <c r="C50" s="168">
        <v>0</v>
      </c>
      <c r="D50" s="82">
        <v>0</v>
      </c>
    </row>
    <row r="51" spans="1:4">
      <c r="A51" s="7">
        <v>740</v>
      </c>
      <c r="B51" s="168">
        <v>0</v>
      </c>
      <c r="C51" s="168">
        <v>0</v>
      </c>
      <c r="D51" s="82">
        <v>0</v>
      </c>
    </row>
    <row r="52" spans="1:4">
      <c r="A52" s="7" t="s">
        <v>54</v>
      </c>
      <c r="B52" s="168">
        <v>0</v>
      </c>
      <c r="C52" s="168">
        <v>0</v>
      </c>
      <c r="D52" s="82">
        <f t="shared" si="0"/>
        <v>0</v>
      </c>
    </row>
    <row r="53" spans="1:4">
      <c r="A53" s="7" t="s">
        <v>55</v>
      </c>
      <c r="B53" s="168">
        <v>79200</v>
      </c>
      <c r="C53" s="168">
        <f>B53</f>
        <v>79200</v>
      </c>
      <c r="D53" s="82">
        <f t="shared" si="0"/>
        <v>158400</v>
      </c>
    </row>
    <row r="54" spans="1:4">
      <c r="A54" s="4" t="s">
        <v>56</v>
      </c>
      <c r="B54" s="168">
        <v>0</v>
      </c>
      <c r="C54" s="168">
        <v>0</v>
      </c>
      <c r="D54" s="82">
        <f t="shared" si="0"/>
        <v>0</v>
      </c>
    </row>
    <row r="55" spans="1:4">
      <c r="A55" s="4" t="s">
        <v>57</v>
      </c>
      <c r="B55" s="168">
        <v>0</v>
      </c>
      <c r="C55" s="168">
        <v>0</v>
      </c>
      <c r="D55" s="82">
        <f t="shared" si="0"/>
        <v>0</v>
      </c>
    </row>
    <row r="56" spans="1:4" ht="15.75" thickBot="1">
      <c r="A56" s="12" t="s">
        <v>58</v>
      </c>
      <c r="B56" s="168">
        <v>0</v>
      </c>
      <c r="C56" s="168">
        <v>0</v>
      </c>
      <c r="D56" s="82">
        <f t="shared" si="0"/>
        <v>0</v>
      </c>
    </row>
    <row r="57" spans="1:4" ht="15.75" thickBot="1">
      <c r="A57" s="259" t="s">
        <v>59</v>
      </c>
      <c r="B57" s="256"/>
      <c r="C57" s="256"/>
      <c r="D57" s="258"/>
    </row>
    <row r="58" spans="1:4">
      <c r="A58" s="157" t="s">
        <v>60</v>
      </c>
      <c r="B58" s="168">
        <v>0</v>
      </c>
      <c r="C58" s="168">
        <v>0</v>
      </c>
      <c r="D58" s="82">
        <f t="shared" si="0"/>
        <v>0</v>
      </c>
    </row>
    <row r="59" spans="1:4">
      <c r="A59" s="125" t="s">
        <v>61</v>
      </c>
      <c r="B59" s="168">
        <v>0</v>
      </c>
      <c r="C59" s="168">
        <v>0</v>
      </c>
      <c r="D59" s="82">
        <f t="shared" si="0"/>
        <v>0</v>
      </c>
    </row>
    <row r="60" spans="1:4">
      <c r="A60" s="126" t="s">
        <v>62</v>
      </c>
      <c r="B60" s="168">
        <v>0</v>
      </c>
      <c r="C60" s="168">
        <v>0</v>
      </c>
      <c r="D60" s="82">
        <f t="shared" si="0"/>
        <v>0</v>
      </c>
    </row>
    <row r="61" spans="1:4">
      <c r="A61" s="126" t="s">
        <v>63</v>
      </c>
      <c r="B61" s="168">
        <v>0</v>
      </c>
      <c r="C61" s="168">
        <v>0</v>
      </c>
      <c r="D61" s="82">
        <f t="shared" si="0"/>
        <v>0</v>
      </c>
    </row>
    <row r="62" spans="1:4">
      <c r="A62" s="126" t="s">
        <v>64</v>
      </c>
      <c r="B62" s="168">
        <v>0</v>
      </c>
      <c r="C62" s="168">
        <v>0</v>
      </c>
      <c r="D62" s="82">
        <f t="shared" si="0"/>
        <v>0</v>
      </c>
    </row>
    <row r="63" spans="1:4">
      <c r="A63" s="107"/>
      <c r="D63" s="155"/>
    </row>
    <row r="64" spans="1:4">
      <c r="A64" s="179" t="s">
        <v>148</v>
      </c>
      <c r="D64" s="155"/>
    </row>
    <row r="65" spans="1:4" ht="15.75" thickBot="1">
      <c r="A65" s="261" t="s">
        <v>143</v>
      </c>
      <c r="B65" s="220"/>
      <c r="C65" s="220"/>
      <c r="D65" s="158"/>
    </row>
  </sheetData>
  <sheetProtection algorithmName="SHA-512" hashValue="EbdUhh64/am9uRhpoEUW4xHH6wEn4797oTnQEl8scm6N8pFhB+CRtQ4QK0s+/RbZnXViHMmj5LmM5DeBbnrVQw==" saltValue="o8sjfVkCzmXPEQ0yG8SXSA==" spinCount="100000" sheet="1" objects="1" scenarios="1"/>
  <mergeCells count="1">
    <mergeCell ref="A4:D4"/>
  </mergeCells>
  <phoneticPr fontId="27" type="noConversion"/>
  <printOptions horizontalCentered="1"/>
  <pageMargins left="0.7" right="0.7" top="0.75" bottom="0.75" header="0.3" footer="0.3"/>
  <pageSetup scale="70" orientation="portrait" r:id="rId1"/>
  <colBreaks count="1" manualBreakCount="1">
    <brk id="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S74"/>
  <sheetViews>
    <sheetView workbookViewId="0">
      <selection activeCell="A4" sqref="A4:J4"/>
    </sheetView>
  </sheetViews>
  <sheetFormatPr defaultRowHeight="15"/>
  <cols>
    <col min="1" max="1" width="42.7109375" customWidth="1"/>
    <col min="6" max="6" width="10.140625" customWidth="1"/>
    <col min="7" max="7" width="11.42578125" customWidth="1"/>
    <col min="8" max="8" width="11.28515625" customWidth="1"/>
    <col min="18" max="18" width="13.7109375" customWidth="1"/>
  </cols>
  <sheetData>
    <row r="1" spans="1:19">
      <c r="A1" s="160"/>
      <c r="B1" s="161"/>
      <c r="C1" s="161"/>
      <c r="D1" s="161"/>
      <c r="E1" s="161"/>
      <c r="F1" s="161"/>
      <c r="G1" s="161"/>
      <c r="H1" s="161"/>
      <c r="I1" s="161"/>
      <c r="J1" s="154"/>
      <c r="S1" s="16"/>
    </row>
    <row r="2" spans="1:19">
      <c r="A2" s="107"/>
      <c r="J2" s="155"/>
    </row>
    <row r="3" spans="1:19">
      <c r="A3" s="107"/>
      <c r="J3" s="155"/>
    </row>
    <row r="4" spans="1:19">
      <c r="A4" s="279" t="s">
        <v>153</v>
      </c>
      <c r="B4" s="280"/>
      <c r="C4" s="280"/>
      <c r="D4" s="280"/>
      <c r="E4" s="280"/>
      <c r="F4" s="280"/>
      <c r="G4" s="280"/>
      <c r="H4" s="280"/>
      <c r="I4" s="280"/>
      <c r="J4" s="281"/>
    </row>
    <row r="5" spans="1:19" ht="52.5" thickBot="1">
      <c r="A5" s="195" t="s">
        <v>2</v>
      </c>
      <c r="B5" s="159" t="s">
        <v>76</v>
      </c>
      <c r="C5" s="159" t="s">
        <v>126</v>
      </c>
      <c r="D5" s="159" t="s">
        <v>77</v>
      </c>
      <c r="E5" s="159" t="s">
        <v>123</v>
      </c>
      <c r="F5" s="159" t="s">
        <v>78</v>
      </c>
      <c r="G5" s="159" t="s">
        <v>79</v>
      </c>
      <c r="H5" s="159" t="s">
        <v>80</v>
      </c>
      <c r="I5" s="159" t="s">
        <v>81</v>
      </c>
      <c r="J5" s="162" t="s">
        <v>82</v>
      </c>
    </row>
    <row r="6" spans="1:19" ht="16.5" thickBot="1">
      <c r="A6" s="152" t="s">
        <v>11</v>
      </c>
      <c r="B6" s="163"/>
      <c r="C6" s="163"/>
      <c r="D6" s="163"/>
      <c r="E6" s="163"/>
      <c r="F6" s="163"/>
      <c r="G6" s="163"/>
      <c r="H6" s="163"/>
      <c r="I6" s="163"/>
      <c r="J6" s="164"/>
    </row>
    <row r="7" spans="1:19">
      <c r="A7" s="1" t="s">
        <v>12</v>
      </c>
      <c r="B7" s="2">
        <f>'SRCE Eqipment'!$C$37</f>
        <v>50.875</v>
      </c>
      <c r="C7" s="2">
        <f>'Davis-Bacon Wages'!$K$37</f>
        <v>60.259725000000003</v>
      </c>
      <c r="D7" s="165">
        <v>0</v>
      </c>
      <c r="E7" s="166">
        <f>'Mob Demob'!$J$4</f>
        <v>0</v>
      </c>
      <c r="F7" s="167">
        <f>'Mob Demob'!$J$3</f>
        <v>0</v>
      </c>
      <c r="G7" s="168">
        <v>0.5</v>
      </c>
      <c r="H7" s="168">
        <f t="shared" ref="H7:H12" si="0">(B7*D7*E7)+(0.15*F7*G7*D7)</f>
        <v>0</v>
      </c>
      <c r="I7" s="168">
        <f t="shared" ref="I7:I12" si="1">(C7*D7*E7)+(0.85*F7*G7*D7)</f>
        <v>0</v>
      </c>
      <c r="J7" s="169">
        <f>IF('Mob Demob'!J$3&gt;50,H7+I7,0)</f>
        <v>0</v>
      </c>
    </row>
    <row r="8" spans="1:19">
      <c r="A8" s="4" t="s">
        <v>13</v>
      </c>
      <c r="B8" s="2">
        <f>'SRCE Eqipment'!$C$37</f>
        <v>50.875</v>
      </c>
      <c r="C8" s="2">
        <f>'Davis-Bacon Wages'!$K$37</f>
        <v>60.259725000000003</v>
      </c>
      <c r="D8" s="165">
        <v>1</v>
      </c>
      <c r="E8" s="166">
        <f>'Mob Demob'!$J$4</f>
        <v>0</v>
      </c>
      <c r="F8" s="167">
        <f>'Mob Demob'!$J$3</f>
        <v>0</v>
      </c>
      <c r="G8" s="168">
        <f>$G$7</f>
        <v>0.5</v>
      </c>
      <c r="H8" s="168">
        <f t="shared" si="0"/>
        <v>0</v>
      </c>
      <c r="I8" s="168">
        <f t="shared" si="1"/>
        <v>0</v>
      </c>
      <c r="J8" s="169">
        <f>IF('Mob Demob'!J$3&gt;50,H8+I8,0)</f>
        <v>0</v>
      </c>
    </row>
    <row r="9" spans="1:19">
      <c r="A9" s="4" t="s">
        <v>14</v>
      </c>
      <c r="B9" s="2">
        <f>'SRCE Eqipment'!$C$37</f>
        <v>50.875</v>
      </c>
      <c r="C9" s="2">
        <f>'Davis-Bacon Wages'!$K$37</f>
        <v>60.259725000000003</v>
      </c>
      <c r="D9" s="165">
        <v>2</v>
      </c>
      <c r="E9" s="166">
        <f>'Mob Demob'!$J$4</f>
        <v>0</v>
      </c>
      <c r="F9" s="167">
        <f>'Mob Demob'!$J$3</f>
        <v>0</v>
      </c>
      <c r="G9" s="168">
        <f t="shared" ref="G9:G62" si="2">$G$7</f>
        <v>0.5</v>
      </c>
      <c r="H9" s="168">
        <f t="shared" si="0"/>
        <v>0</v>
      </c>
      <c r="I9" s="168">
        <f t="shared" si="1"/>
        <v>0</v>
      </c>
      <c r="J9" s="169">
        <f>IF('Mob Demob'!J$3&gt;50,H9+I9,0)</f>
        <v>0</v>
      </c>
    </row>
    <row r="10" spans="1:19">
      <c r="A10" s="4" t="s">
        <v>15</v>
      </c>
      <c r="B10" s="2">
        <f>'SRCE Eqipment'!$C$37</f>
        <v>50.875</v>
      </c>
      <c r="C10" s="2">
        <f>'Davis-Bacon Wages'!$K$37</f>
        <v>60.259725000000003</v>
      </c>
      <c r="D10" s="165">
        <v>2</v>
      </c>
      <c r="E10" s="166">
        <f>'Mob Demob'!$J$4</f>
        <v>0</v>
      </c>
      <c r="F10" s="167">
        <f>'Mob Demob'!$J$3</f>
        <v>0</v>
      </c>
      <c r="G10" s="168">
        <f t="shared" si="2"/>
        <v>0.5</v>
      </c>
      <c r="H10" s="168">
        <f t="shared" si="0"/>
        <v>0</v>
      </c>
      <c r="I10" s="168">
        <f t="shared" si="1"/>
        <v>0</v>
      </c>
      <c r="J10" s="169">
        <f>IF('Mob Demob'!J$3&gt;50,H10+I10,0)</f>
        <v>0</v>
      </c>
    </row>
    <row r="11" spans="1:19">
      <c r="A11" s="4" t="s">
        <v>16</v>
      </c>
      <c r="B11" s="2">
        <f>'SRCE Eqipment'!$C$37</f>
        <v>50.875</v>
      </c>
      <c r="C11" s="2">
        <f>'Davis-Bacon Wages'!$K$37</f>
        <v>60.259725000000003</v>
      </c>
      <c r="D11" s="165">
        <v>3</v>
      </c>
      <c r="E11" s="166">
        <f>'Mob Demob'!$J$4</f>
        <v>0</v>
      </c>
      <c r="F11" s="167">
        <f>'Mob Demob'!$J$3</f>
        <v>0</v>
      </c>
      <c r="G11" s="168">
        <f t="shared" si="2"/>
        <v>0.5</v>
      </c>
      <c r="H11" s="168">
        <f t="shared" si="0"/>
        <v>0</v>
      </c>
      <c r="I11" s="168">
        <f t="shared" si="1"/>
        <v>0</v>
      </c>
      <c r="J11" s="169">
        <f>IF('Mob Demob'!J$3&gt;50,H11+I11,0)</f>
        <v>0</v>
      </c>
    </row>
    <row r="12" spans="1:19" ht="15.75" thickBot="1">
      <c r="A12" s="5" t="s">
        <v>145</v>
      </c>
      <c r="B12" s="2">
        <f>'SRCE Eqipment'!$C$37</f>
        <v>50.875</v>
      </c>
      <c r="C12" s="2">
        <f>'Davis-Bacon Wages'!$K$37</f>
        <v>60.259725000000003</v>
      </c>
      <c r="D12" s="165">
        <v>2</v>
      </c>
      <c r="E12" s="166">
        <f>'Mob Demob'!$J$4</f>
        <v>0</v>
      </c>
      <c r="F12" s="167">
        <f>'Mob Demob'!$J$3</f>
        <v>0</v>
      </c>
      <c r="G12" s="168">
        <f t="shared" si="2"/>
        <v>0.5</v>
      </c>
      <c r="H12" s="168">
        <f t="shared" si="0"/>
        <v>0</v>
      </c>
      <c r="I12" s="168">
        <f t="shared" si="1"/>
        <v>0</v>
      </c>
      <c r="J12" s="169">
        <f>IF('Mob Demob'!J$3&gt;50,H12+I12,0)</f>
        <v>0</v>
      </c>
    </row>
    <row r="13" spans="1:19" ht="16.5" thickBot="1">
      <c r="A13" s="13" t="s">
        <v>18</v>
      </c>
      <c r="B13" s="170"/>
      <c r="C13" s="170"/>
      <c r="D13" s="171"/>
      <c r="E13" s="172"/>
      <c r="F13" s="170"/>
      <c r="G13" s="170"/>
      <c r="H13" s="170"/>
      <c r="I13" s="170"/>
      <c r="J13" s="173"/>
    </row>
    <row r="14" spans="1:19">
      <c r="A14" s="6" t="s">
        <v>19</v>
      </c>
      <c r="B14" s="2">
        <f>'SRCE Eqipment'!$C$37</f>
        <v>50.875</v>
      </c>
      <c r="C14" s="2">
        <f>'Davis-Bacon Wages'!$K$37</f>
        <v>60.259725000000003</v>
      </c>
      <c r="D14" s="174">
        <v>0</v>
      </c>
      <c r="E14" s="166">
        <f>'Mob Demob'!$J$4</f>
        <v>0</v>
      </c>
      <c r="F14" s="167">
        <f>'Mob Demob'!$J$3</f>
        <v>0</v>
      </c>
      <c r="G14" s="168">
        <f t="shared" si="2"/>
        <v>0.5</v>
      </c>
      <c r="H14" s="168">
        <f>(B14*D14*E14)+(0.15*F14*G14*D14)</f>
        <v>0</v>
      </c>
      <c r="I14" s="168">
        <f>(C14*D14*E14)+(0.85*F14*G14*D14)</f>
        <v>0</v>
      </c>
      <c r="J14" s="169">
        <f>IF('Mob Demob'!J$3&gt;50,H14+I14,0)</f>
        <v>0</v>
      </c>
    </row>
    <row r="15" spans="1:19" ht="15.75" thickBot="1">
      <c r="A15" s="7" t="s">
        <v>20</v>
      </c>
      <c r="B15" s="2">
        <f>'SRCE Eqipment'!$C$37</f>
        <v>50.875</v>
      </c>
      <c r="C15" s="2">
        <f>'Davis-Bacon Wages'!$K$37</f>
        <v>60.259725000000003</v>
      </c>
      <c r="D15" s="174">
        <v>1</v>
      </c>
      <c r="E15" s="166">
        <f>'Mob Demob'!$J$4</f>
        <v>0</v>
      </c>
      <c r="F15" s="167">
        <f>'Mob Demob'!$J$3</f>
        <v>0</v>
      </c>
      <c r="G15" s="168">
        <f t="shared" si="2"/>
        <v>0.5</v>
      </c>
      <c r="H15" s="168">
        <f>(B15*D15*E15)+(0.15*F15*G15*D15)</f>
        <v>0</v>
      </c>
      <c r="I15" s="168">
        <f>(C15*D15*E15)+(0.85*F15*G15*D15)</f>
        <v>0</v>
      </c>
      <c r="J15" s="169">
        <f>IF('Mob Demob'!J$3&gt;50,H15+I15,0)</f>
        <v>0</v>
      </c>
    </row>
    <row r="16" spans="1:19" ht="16.5" thickBot="1">
      <c r="A16" s="13" t="s">
        <v>21</v>
      </c>
      <c r="B16" s="170"/>
      <c r="C16" s="170"/>
      <c r="D16" s="171"/>
      <c r="E16" s="172"/>
      <c r="F16" s="170"/>
      <c r="G16" s="170"/>
      <c r="H16" s="170"/>
      <c r="I16" s="170"/>
      <c r="J16" s="173"/>
    </row>
    <row r="17" spans="1:10">
      <c r="A17" s="4" t="s">
        <v>22</v>
      </c>
      <c r="B17" s="2">
        <f>'SRCE Eqipment'!$C$37</f>
        <v>50.875</v>
      </c>
      <c r="C17" s="2">
        <f>'Davis-Bacon Wages'!$K$37</f>
        <v>60.259725000000003</v>
      </c>
      <c r="D17" s="174">
        <v>0</v>
      </c>
      <c r="E17" s="166">
        <f>'Mob Demob'!$J$4</f>
        <v>0</v>
      </c>
      <c r="F17" s="167">
        <f>'Mob Demob'!$J$3</f>
        <v>0</v>
      </c>
      <c r="G17" s="168">
        <f t="shared" si="2"/>
        <v>0.5</v>
      </c>
      <c r="H17" s="168">
        <f>(B17*D17*E17)+(0.15*F17*G17*D17)</f>
        <v>0</v>
      </c>
      <c r="I17" s="168">
        <f>(C17*D17*E17)+(0.85*F17*G17*D17)</f>
        <v>0</v>
      </c>
      <c r="J17" s="169">
        <f>IF('Mob Demob'!J$3&gt;50,H17+I17,0)</f>
        <v>0</v>
      </c>
    </row>
    <row r="18" spans="1:10">
      <c r="A18" s="4" t="s">
        <v>23</v>
      </c>
      <c r="B18" s="2">
        <f>'SRCE Eqipment'!$C$37</f>
        <v>50.875</v>
      </c>
      <c r="C18" s="2">
        <f>'Davis-Bacon Wages'!$K$37</f>
        <v>60.259725000000003</v>
      </c>
      <c r="D18" s="174">
        <v>0</v>
      </c>
      <c r="E18" s="166">
        <f>'Mob Demob'!$J$4</f>
        <v>0</v>
      </c>
      <c r="F18" s="167">
        <f>'Mob Demob'!$J$3</f>
        <v>0</v>
      </c>
      <c r="G18" s="168">
        <f t="shared" si="2"/>
        <v>0.5</v>
      </c>
      <c r="H18" s="168">
        <f>(B18*D18*E18)+(0.15*F18*G18*D18)</f>
        <v>0</v>
      </c>
      <c r="I18" s="168">
        <f>(C18*D18*E18)+(0.85*F18*G18*D18)</f>
        <v>0</v>
      </c>
      <c r="J18" s="169">
        <f>IF('Mob Demob'!J$3&gt;50,H18+I18,0)</f>
        <v>0</v>
      </c>
    </row>
    <row r="19" spans="1:10">
      <c r="A19" s="8" t="s">
        <v>24</v>
      </c>
      <c r="B19" s="2">
        <f>'SRCE Eqipment'!$C$37</f>
        <v>50.875</v>
      </c>
      <c r="C19" s="2">
        <f>'Davis-Bacon Wages'!$K$37</f>
        <v>60.259725000000003</v>
      </c>
      <c r="D19" s="174">
        <v>2</v>
      </c>
      <c r="E19" s="166">
        <f>'Mob Demob'!$J$4</f>
        <v>0</v>
      </c>
      <c r="F19" s="167">
        <f>'Mob Demob'!$J$3</f>
        <v>0</v>
      </c>
      <c r="G19" s="168">
        <f t="shared" si="2"/>
        <v>0.5</v>
      </c>
      <c r="H19" s="168">
        <f>(B19*D19*E19)+(0.15*F19*G19*D19)</f>
        <v>0</v>
      </c>
      <c r="I19" s="168">
        <f>(C19*D19*E19)+(0.85*F19*G19*D19)</f>
        <v>0</v>
      </c>
      <c r="J19" s="169">
        <f>IF('Mob Demob'!J$3&gt;50,H19+I19,0)</f>
        <v>0</v>
      </c>
    </row>
    <row r="20" spans="1:10" ht="15.75" thickBot="1">
      <c r="A20" s="9" t="s">
        <v>25</v>
      </c>
      <c r="B20" s="2">
        <f>'SRCE Eqipment'!$C$37</f>
        <v>50.875</v>
      </c>
      <c r="C20" s="2">
        <f>'Davis-Bacon Wages'!$K$37</f>
        <v>60.259725000000003</v>
      </c>
      <c r="D20" s="174">
        <v>2</v>
      </c>
      <c r="E20" s="166">
        <f>'Mob Demob'!$J$4</f>
        <v>0</v>
      </c>
      <c r="F20" s="167">
        <f>'Mob Demob'!$J$3</f>
        <v>0</v>
      </c>
      <c r="G20" s="168">
        <f t="shared" si="2"/>
        <v>0.5</v>
      </c>
      <c r="H20" s="168">
        <f>(B20*D20*E20)+(0.15*F20*G20*D20)</f>
        <v>0</v>
      </c>
      <c r="I20" s="168">
        <f>(C20*D20*E20)+(0.85*F20*G20*D20)</f>
        <v>0</v>
      </c>
      <c r="J20" s="169">
        <f>IF('Mob Demob'!J$3&gt;50,H20+I20,0)</f>
        <v>0</v>
      </c>
    </row>
    <row r="21" spans="1:10" ht="16.5" thickBot="1">
      <c r="A21" s="13" t="s">
        <v>26</v>
      </c>
      <c r="B21" s="170"/>
      <c r="C21" s="170"/>
      <c r="D21" s="171"/>
      <c r="E21" s="172"/>
      <c r="F21" s="170"/>
      <c r="G21" s="170"/>
      <c r="H21" s="170"/>
      <c r="I21" s="170"/>
      <c r="J21" s="173"/>
    </row>
    <row r="22" spans="1:10">
      <c r="A22" s="8" t="s">
        <v>27</v>
      </c>
      <c r="B22" s="2">
        <f>'SRCE Eqipment'!$C$37</f>
        <v>50.875</v>
      </c>
      <c r="C22" s="2">
        <f>'Davis-Bacon Wages'!$K$37</f>
        <v>60.259725000000003</v>
      </c>
      <c r="D22" s="174">
        <v>2</v>
      </c>
      <c r="E22" s="166">
        <f>'Mob Demob'!$J$4</f>
        <v>0</v>
      </c>
      <c r="F22" s="167">
        <f>'Mob Demob'!$J$3</f>
        <v>0</v>
      </c>
      <c r="G22" s="168">
        <f t="shared" si="2"/>
        <v>0.5</v>
      </c>
      <c r="H22" s="168">
        <f>(B22*D22*E22)+(0.15*F22*G22*D22)</f>
        <v>0</v>
      </c>
      <c r="I22" s="168">
        <f>(C22*D22*E22)+(0.85*F22*G22*D22)</f>
        <v>0</v>
      </c>
      <c r="J22" s="169">
        <f>IF('Mob Demob'!J$3&gt;50,H22+I22,0)</f>
        <v>0</v>
      </c>
    </row>
    <row r="23" spans="1:10" ht="15.75" thickBot="1">
      <c r="A23" s="9" t="s">
        <v>28</v>
      </c>
      <c r="B23" s="2">
        <f>'SRCE Eqipment'!$C$37</f>
        <v>50.875</v>
      </c>
      <c r="C23" s="2">
        <f>'Davis-Bacon Wages'!$K$37</f>
        <v>60.259725000000003</v>
      </c>
      <c r="D23" s="174">
        <v>2</v>
      </c>
      <c r="E23" s="166">
        <f>'Mob Demob'!$J$4</f>
        <v>0</v>
      </c>
      <c r="F23" s="167">
        <f>'Mob Demob'!$J$3</f>
        <v>0</v>
      </c>
      <c r="G23" s="168">
        <f t="shared" si="2"/>
        <v>0.5</v>
      </c>
      <c r="H23" s="168">
        <f>(B23*D23*E23)+(0.15*F23*G23*D23)</f>
        <v>0</v>
      </c>
      <c r="I23" s="168">
        <f>(C23*D23*E23)+(0.85*F23*G23*D23)</f>
        <v>0</v>
      </c>
      <c r="J23" s="169">
        <f>IF('Mob Demob'!J$3&gt;50,H23+I23,0)</f>
        <v>0</v>
      </c>
    </row>
    <row r="24" spans="1:10" ht="16.5" thickBot="1">
      <c r="A24" s="13" t="s">
        <v>29</v>
      </c>
      <c r="B24" s="170"/>
      <c r="C24" s="170"/>
      <c r="D24" s="171"/>
      <c r="E24" s="172"/>
      <c r="F24" s="170"/>
      <c r="G24" s="170"/>
      <c r="H24" s="170"/>
      <c r="I24" s="170"/>
      <c r="J24" s="173"/>
    </row>
    <row r="25" spans="1:10">
      <c r="A25" s="8" t="s">
        <v>30</v>
      </c>
      <c r="B25" s="2">
        <f>'SRCE Eqipment'!$C$37</f>
        <v>50.875</v>
      </c>
      <c r="C25" s="2">
        <f>'Davis-Bacon Wages'!$K$37</f>
        <v>60.259725000000003</v>
      </c>
      <c r="D25" s="174">
        <v>0</v>
      </c>
      <c r="E25" s="166">
        <f>'Mob Demob'!$J$4</f>
        <v>0</v>
      </c>
      <c r="F25" s="167">
        <f>'Mob Demob'!$J$3</f>
        <v>0</v>
      </c>
      <c r="G25" s="168">
        <f t="shared" si="2"/>
        <v>0.5</v>
      </c>
      <c r="H25" s="168">
        <f>(B25*D25*E25)+(0.15*F25*G25*D25)</f>
        <v>0</v>
      </c>
      <c r="I25" s="168">
        <f>(C25*D25*E25)+(0.85*F25*G25*D25)</f>
        <v>0</v>
      </c>
      <c r="J25" s="169">
        <f>IF('Mob Demob'!J$3&gt;50,H25+I25,0)</f>
        <v>0</v>
      </c>
    </row>
    <row r="26" spans="1:10">
      <c r="A26" s="4" t="s">
        <v>31</v>
      </c>
      <c r="B26" s="2">
        <f>'SRCE Eqipment'!$C$37</f>
        <v>50.875</v>
      </c>
      <c r="C26" s="2">
        <f>'Davis-Bacon Wages'!$K$37</f>
        <v>60.259725000000003</v>
      </c>
      <c r="D26" s="174">
        <v>0</v>
      </c>
      <c r="E26" s="166">
        <f>'Mob Demob'!$J$4</f>
        <v>0</v>
      </c>
      <c r="F26" s="167">
        <f>'Mob Demob'!$J$3</f>
        <v>0</v>
      </c>
      <c r="G26" s="168">
        <f t="shared" si="2"/>
        <v>0.5</v>
      </c>
      <c r="H26" s="168">
        <f>(B26*D26*E26)+(0.15*F26*G26*D26)</f>
        <v>0</v>
      </c>
      <c r="I26" s="168">
        <f>(C26*D26*E26)+(0.85*F26*G26*D26)</f>
        <v>0</v>
      </c>
      <c r="J26" s="169">
        <f>IF('Mob Demob'!J$3&gt;50,H26+I26,0)</f>
        <v>0</v>
      </c>
    </row>
    <row r="27" spans="1:10">
      <c r="A27" s="4" t="s">
        <v>32</v>
      </c>
      <c r="B27" s="2">
        <f>'SRCE Eqipment'!$C$37</f>
        <v>50.875</v>
      </c>
      <c r="C27" s="2">
        <f>'Davis-Bacon Wages'!$K$37</f>
        <v>60.259725000000003</v>
      </c>
      <c r="D27" s="174">
        <v>0</v>
      </c>
      <c r="E27" s="166">
        <f>'Mob Demob'!$J$4</f>
        <v>0</v>
      </c>
      <c r="F27" s="167">
        <f>'Mob Demob'!$J$3</f>
        <v>0</v>
      </c>
      <c r="G27" s="168">
        <f t="shared" si="2"/>
        <v>0.5</v>
      </c>
      <c r="H27" s="168">
        <f>(B27*D27*E27)+(0.15*F27*G27*D27)</f>
        <v>0</v>
      </c>
      <c r="I27" s="168">
        <f>(C27*D27*E27)+(0.85*F27*G27*D27)</f>
        <v>0</v>
      </c>
      <c r="J27" s="169">
        <f>IF('Mob Demob'!J$3&gt;50,H27+I27,0)</f>
        <v>0</v>
      </c>
    </row>
    <row r="28" spans="1:10">
      <c r="A28" s="8" t="s">
        <v>33</v>
      </c>
      <c r="B28" s="2">
        <f>'SRCE Eqipment'!$C$37</f>
        <v>50.875</v>
      </c>
      <c r="C28" s="2">
        <f>'Davis-Bacon Wages'!$K$37</f>
        <v>60.259725000000003</v>
      </c>
      <c r="D28" s="174">
        <v>1</v>
      </c>
      <c r="E28" s="166">
        <f>'Mob Demob'!$J$4</f>
        <v>0</v>
      </c>
      <c r="F28" s="167">
        <f>'Mob Demob'!$J$3</f>
        <v>0</v>
      </c>
      <c r="G28" s="168">
        <f t="shared" si="2"/>
        <v>0.5</v>
      </c>
      <c r="H28" s="168">
        <f>(B28*D28*E28)+(0.15*F28*G28*D28)</f>
        <v>0</v>
      </c>
      <c r="I28" s="168">
        <f>(C28*D28*E28)+(0.85*F28*G28*D28)</f>
        <v>0</v>
      </c>
      <c r="J28" s="169">
        <f>IF('Mob Demob'!J$3&gt;50,H28+I28,0)</f>
        <v>0</v>
      </c>
    </row>
    <row r="29" spans="1:10" ht="15.75" thickBot="1">
      <c r="A29" s="5" t="s">
        <v>146</v>
      </c>
      <c r="B29" s="2">
        <f>'SRCE Eqipment'!$C$37</f>
        <v>50.875</v>
      </c>
      <c r="C29" s="2">
        <f>'Davis-Bacon Wages'!$K$37</f>
        <v>60.259725000000003</v>
      </c>
      <c r="D29" s="174">
        <v>2</v>
      </c>
      <c r="E29" s="166">
        <f>'Mob Demob'!$J$4</f>
        <v>0</v>
      </c>
      <c r="F29" s="167">
        <f>'Mob Demob'!$J$3</f>
        <v>0</v>
      </c>
      <c r="G29" s="168">
        <f t="shared" si="2"/>
        <v>0.5</v>
      </c>
      <c r="H29" s="168">
        <f>(B29*D29*E29)+(0.15*F29*G29*D29)</f>
        <v>0</v>
      </c>
      <c r="I29" s="168">
        <f>(C29*D29*E29)+(0.85*F29*G29*D29)</f>
        <v>0</v>
      </c>
      <c r="J29" s="169">
        <f>IF('Mob Demob'!J$3&gt;50,H29+I29,0)</f>
        <v>0</v>
      </c>
    </row>
    <row r="30" spans="1:10" ht="16.5" thickBot="1">
      <c r="A30" s="185" t="s">
        <v>132</v>
      </c>
      <c r="B30" s="170"/>
      <c r="C30" s="170"/>
      <c r="D30" s="171"/>
      <c r="E30" s="172"/>
      <c r="F30" s="170"/>
      <c r="G30" s="170"/>
      <c r="H30" s="170"/>
      <c r="I30" s="170"/>
      <c r="J30" s="173"/>
    </row>
    <row r="31" spans="1:10">
      <c r="A31" s="8" t="s">
        <v>35</v>
      </c>
      <c r="B31" s="2">
        <f>'SRCE Eqipment'!$C$37</f>
        <v>50.875</v>
      </c>
      <c r="C31" s="2">
        <f>'Davis-Bacon Wages'!$K$37</f>
        <v>60.259725000000003</v>
      </c>
      <c r="D31" s="174">
        <v>0</v>
      </c>
      <c r="E31" s="166">
        <f>'Mob Demob'!$J$4</f>
        <v>0</v>
      </c>
      <c r="F31" s="167">
        <f>'Mob Demob'!$J$3</f>
        <v>0</v>
      </c>
      <c r="G31" s="168">
        <f t="shared" si="2"/>
        <v>0.5</v>
      </c>
      <c r="H31" s="168">
        <f>(B31*D31*E31)+(0.15*F31*G31*D31)</f>
        <v>0</v>
      </c>
      <c r="I31" s="168">
        <f>(C31*D31*E31)+(0.85*F31*G31*D31)</f>
        <v>0</v>
      </c>
      <c r="J31" s="169">
        <f>IF('Mob Demob'!J$3&gt;50,H31+I31,0)</f>
        <v>0</v>
      </c>
    </row>
    <row r="32" spans="1:10">
      <c r="A32" s="4" t="s">
        <v>36</v>
      </c>
      <c r="B32" s="2">
        <f>'SRCE Eqipment'!$C$37</f>
        <v>50.875</v>
      </c>
      <c r="C32" s="2">
        <f>'Davis-Bacon Wages'!$K$37</f>
        <v>60.259725000000003</v>
      </c>
      <c r="D32" s="174">
        <v>0</v>
      </c>
      <c r="E32" s="166">
        <f>'Mob Demob'!$J$4</f>
        <v>0</v>
      </c>
      <c r="F32" s="167">
        <f>'Mob Demob'!$J$3</f>
        <v>0</v>
      </c>
      <c r="G32" s="168">
        <f t="shared" si="2"/>
        <v>0.5</v>
      </c>
      <c r="H32" s="168">
        <f>(B32*D32*E32)+(0.15*F32*G32*D32)</f>
        <v>0</v>
      </c>
      <c r="I32" s="168">
        <f>(C32*D32*E32)+(0.85*F32*G32*D32)</f>
        <v>0</v>
      </c>
      <c r="J32" s="169">
        <f>IF('Mob Demob'!J$3&gt;50,H32+I32,0)</f>
        <v>0</v>
      </c>
    </row>
    <row r="33" spans="1:10" ht="15.75" thickBot="1">
      <c r="A33" s="37" t="s">
        <v>37</v>
      </c>
      <c r="B33" s="2">
        <f>'SRCE Eqipment'!$C$37</f>
        <v>50.875</v>
      </c>
      <c r="C33" s="2">
        <f>'Davis-Bacon Wages'!$K$37</f>
        <v>60.259725000000003</v>
      </c>
      <c r="D33" s="174">
        <v>0</v>
      </c>
      <c r="E33" s="166">
        <f>'Mob Demob'!$J$4</f>
        <v>0</v>
      </c>
      <c r="F33" s="167">
        <f>'Mob Demob'!$J$3</f>
        <v>0</v>
      </c>
      <c r="G33" s="168">
        <f t="shared" si="2"/>
        <v>0.5</v>
      </c>
      <c r="H33" s="168">
        <f>(B33*D33*E33)+(0.15*F33*G33*D33)</f>
        <v>0</v>
      </c>
      <c r="I33" s="168">
        <f>(C33*D33*E33)+(0.85*F33*G33*D33)</f>
        <v>0</v>
      </c>
      <c r="J33" s="169">
        <f>IF('Mob Demob'!J$3&gt;50,H33+I33,0)</f>
        <v>0</v>
      </c>
    </row>
    <row r="34" spans="1:10" ht="16.5" thickBot="1">
      <c r="A34" s="186" t="s">
        <v>38</v>
      </c>
      <c r="B34" s="170"/>
      <c r="C34" s="170"/>
      <c r="D34" s="171"/>
      <c r="E34" s="172"/>
      <c r="F34" s="170"/>
      <c r="G34" s="170"/>
      <c r="H34" s="170"/>
      <c r="I34" s="170"/>
      <c r="J34" s="173"/>
    </row>
    <row r="35" spans="1:10">
      <c r="A35" s="10" t="s">
        <v>39</v>
      </c>
      <c r="B35" s="2">
        <f>'SRCE Eqipment'!$C$37</f>
        <v>50.875</v>
      </c>
      <c r="C35" s="2">
        <f>'Davis-Bacon Wages'!$K$37</f>
        <v>60.259725000000003</v>
      </c>
      <c r="D35" s="174">
        <v>0</v>
      </c>
      <c r="E35" s="166">
        <f>'Mob Demob'!$J$4</f>
        <v>0</v>
      </c>
      <c r="F35" s="167">
        <f>'Mob Demob'!$J$3</f>
        <v>0</v>
      </c>
      <c r="G35" s="168">
        <f t="shared" si="2"/>
        <v>0.5</v>
      </c>
      <c r="H35" s="168">
        <f t="shared" ref="H35:H48" si="3">(B35*D35*E35)+(0.15*F35*G35*D35)</f>
        <v>0</v>
      </c>
      <c r="I35" s="168">
        <f t="shared" ref="I35:I48" si="4">(C35*D35*E35)+(0.85*F35*G35*D35)</f>
        <v>0</v>
      </c>
      <c r="J35" s="169">
        <f>IF('Mob Demob'!J$3&gt;50,H35+I35,0)</f>
        <v>0</v>
      </c>
    </row>
    <row r="36" spans="1:10">
      <c r="A36" s="4" t="s">
        <v>40</v>
      </c>
      <c r="B36" s="2">
        <f>'SRCE Eqipment'!$C$37</f>
        <v>50.875</v>
      </c>
      <c r="C36" s="2">
        <f>'Davis-Bacon Wages'!$K$37</f>
        <v>60.259725000000003</v>
      </c>
      <c r="D36" s="174">
        <v>0</v>
      </c>
      <c r="E36" s="166">
        <f>'Mob Demob'!$J$4</f>
        <v>0</v>
      </c>
      <c r="F36" s="167">
        <f>'Mob Demob'!$J$3</f>
        <v>0</v>
      </c>
      <c r="G36" s="168">
        <f t="shared" si="2"/>
        <v>0.5</v>
      </c>
      <c r="H36" s="168">
        <f t="shared" si="3"/>
        <v>0</v>
      </c>
      <c r="I36" s="168">
        <f t="shared" si="4"/>
        <v>0</v>
      </c>
      <c r="J36" s="169">
        <f>IF('Mob Demob'!J$3&gt;50,H36+I36,0)</f>
        <v>0</v>
      </c>
    </row>
    <row r="37" spans="1:10">
      <c r="A37" s="7" t="s">
        <v>41</v>
      </c>
      <c r="B37" s="2">
        <f>'SRCE Eqipment'!$C$37</f>
        <v>50.875</v>
      </c>
      <c r="C37" s="2">
        <f>'Davis-Bacon Wages'!$K$37</f>
        <v>60.259725000000003</v>
      </c>
      <c r="D37" s="174">
        <v>0</v>
      </c>
      <c r="E37" s="166">
        <f>'Mob Demob'!$J$4</f>
        <v>0</v>
      </c>
      <c r="F37" s="167">
        <f>'Mob Demob'!$J$3</f>
        <v>0</v>
      </c>
      <c r="G37" s="168">
        <f t="shared" si="2"/>
        <v>0.5</v>
      </c>
      <c r="H37" s="168">
        <f t="shared" si="3"/>
        <v>0</v>
      </c>
      <c r="I37" s="168">
        <f t="shared" si="4"/>
        <v>0</v>
      </c>
      <c r="J37" s="169">
        <f>IF('Mob Demob'!J$3&gt;50,H37+I37,0)</f>
        <v>0</v>
      </c>
    </row>
    <row r="38" spans="1:10">
      <c r="A38" s="11" t="s">
        <v>42</v>
      </c>
      <c r="B38" s="2">
        <f>'SRCE Eqipment'!$C$37</f>
        <v>50.875</v>
      </c>
      <c r="C38" s="2">
        <f>'Davis-Bacon Wages'!$K$37</f>
        <v>60.259725000000003</v>
      </c>
      <c r="D38" s="174">
        <v>0</v>
      </c>
      <c r="E38" s="166">
        <f>'Mob Demob'!$J$4</f>
        <v>0</v>
      </c>
      <c r="F38" s="167">
        <f>'Mob Demob'!$J$3</f>
        <v>0</v>
      </c>
      <c r="G38" s="168">
        <f t="shared" si="2"/>
        <v>0.5</v>
      </c>
      <c r="H38" s="168">
        <f t="shared" si="3"/>
        <v>0</v>
      </c>
      <c r="I38" s="168">
        <f t="shared" si="4"/>
        <v>0</v>
      </c>
      <c r="J38" s="169">
        <f>IF('Mob Demob'!J$3&gt;50,H38+I38,0)</f>
        <v>0</v>
      </c>
    </row>
    <row r="39" spans="1:10">
      <c r="A39" s="11" t="s">
        <v>43</v>
      </c>
      <c r="B39" s="2">
        <f>'SRCE Eqipment'!$C$37</f>
        <v>50.875</v>
      </c>
      <c r="C39" s="2">
        <f>'Davis-Bacon Wages'!$K$37</f>
        <v>60.259725000000003</v>
      </c>
      <c r="D39" s="174">
        <v>0</v>
      </c>
      <c r="E39" s="166">
        <f>'Mob Demob'!$J$4</f>
        <v>0</v>
      </c>
      <c r="F39" s="167">
        <f>'Mob Demob'!$J$3</f>
        <v>0</v>
      </c>
      <c r="G39" s="168">
        <f t="shared" si="2"/>
        <v>0.5</v>
      </c>
      <c r="H39" s="168">
        <f t="shared" si="3"/>
        <v>0</v>
      </c>
      <c r="I39" s="168">
        <f t="shared" si="4"/>
        <v>0</v>
      </c>
      <c r="J39" s="169">
        <f>IF('Mob Demob'!J$3&gt;50,H39+I39,0)</f>
        <v>0</v>
      </c>
    </row>
    <row r="40" spans="1:10">
      <c r="A40" s="11" t="s">
        <v>44</v>
      </c>
      <c r="B40" s="2">
        <f>'SRCE Eqipment'!$C$37</f>
        <v>50.875</v>
      </c>
      <c r="C40" s="2">
        <f>'Davis-Bacon Wages'!$K$37</f>
        <v>60.259725000000003</v>
      </c>
      <c r="D40" s="174">
        <v>0</v>
      </c>
      <c r="E40" s="166">
        <f>'Mob Demob'!$J$4</f>
        <v>0</v>
      </c>
      <c r="F40" s="167">
        <f>'Mob Demob'!$J$3</f>
        <v>0</v>
      </c>
      <c r="G40" s="168">
        <f t="shared" si="2"/>
        <v>0.5</v>
      </c>
      <c r="H40" s="168">
        <f t="shared" si="3"/>
        <v>0</v>
      </c>
      <c r="I40" s="168">
        <f t="shared" si="4"/>
        <v>0</v>
      </c>
      <c r="J40" s="169">
        <f>IF('Mob Demob'!J$3&gt;50,H40+I40,0)</f>
        <v>0</v>
      </c>
    </row>
    <row r="41" spans="1:10">
      <c r="A41" s="8" t="s">
        <v>45</v>
      </c>
      <c r="B41" s="2">
        <f>'SRCE Eqipment'!$C$37</f>
        <v>50.875</v>
      </c>
      <c r="C41" s="2">
        <f>'Davis-Bacon Wages'!$K$37</f>
        <v>60.259725000000003</v>
      </c>
      <c r="D41" s="174">
        <v>0</v>
      </c>
      <c r="E41" s="166">
        <f>'Mob Demob'!$J$4</f>
        <v>0</v>
      </c>
      <c r="F41" s="167">
        <f>'Mob Demob'!$J$3</f>
        <v>0</v>
      </c>
      <c r="G41" s="168">
        <f t="shared" si="2"/>
        <v>0.5</v>
      </c>
      <c r="H41" s="168">
        <f t="shared" si="3"/>
        <v>0</v>
      </c>
      <c r="I41" s="168">
        <f t="shared" si="4"/>
        <v>0</v>
      </c>
      <c r="J41" s="169">
        <f>IF('Mob Demob'!J$3&gt;50,H41+I41,0)</f>
        <v>0</v>
      </c>
    </row>
    <row r="42" spans="1:10">
      <c r="A42" s="4" t="s">
        <v>46</v>
      </c>
      <c r="B42" s="2">
        <f>'SRCE Eqipment'!$C$37</f>
        <v>50.875</v>
      </c>
      <c r="C42" s="2">
        <f>'Davis-Bacon Wages'!$K$37</f>
        <v>60.259725000000003</v>
      </c>
      <c r="D42" s="174">
        <v>0</v>
      </c>
      <c r="E42" s="166">
        <f>'Mob Demob'!$J$4</f>
        <v>0</v>
      </c>
      <c r="F42" s="167">
        <f>'Mob Demob'!$J$3</f>
        <v>0</v>
      </c>
      <c r="G42" s="168">
        <f t="shared" si="2"/>
        <v>0.5</v>
      </c>
      <c r="H42" s="168">
        <f t="shared" si="3"/>
        <v>0</v>
      </c>
      <c r="I42" s="168">
        <f t="shared" si="4"/>
        <v>0</v>
      </c>
      <c r="J42" s="169">
        <f>IF('Mob Demob'!J$3&gt;50,H42+I42,0)</f>
        <v>0</v>
      </c>
    </row>
    <row r="43" spans="1:10">
      <c r="A43" s="5" t="s">
        <v>47</v>
      </c>
      <c r="B43" s="2">
        <f>'SRCE Eqipment'!$C$37</f>
        <v>50.875</v>
      </c>
      <c r="C43" s="2">
        <f>'Davis-Bacon Wages'!$K$37</f>
        <v>60.259725000000003</v>
      </c>
      <c r="D43" s="174">
        <v>0</v>
      </c>
      <c r="E43" s="166">
        <f>'Mob Demob'!$J$4</f>
        <v>0</v>
      </c>
      <c r="F43" s="167">
        <f>'Mob Demob'!$J$3</f>
        <v>0</v>
      </c>
      <c r="G43" s="168">
        <f t="shared" si="2"/>
        <v>0.5</v>
      </c>
      <c r="H43" s="168">
        <f t="shared" si="3"/>
        <v>0</v>
      </c>
      <c r="I43" s="168">
        <f t="shared" si="4"/>
        <v>0</v>
      </c>
      <c r="J43" s="169">
        <f>IF('Mob Demob'!J$3&gt;50,H43+I43,0)</f>
        <v>0</v>
      </c>
    </row>
    <row r="44" spans="1:10">
      <c r="A44" s="4" t="s">
        <v>48</v>
      </c>
      <c r="B44" s="2">
        <f>'SRCE Eqipment'!$C$37</f>
        <v>50.875</v>
      </c>
      <c r="C44" s="2">
        <f>'Davis-Bacon Wages'!$K$37</f>
        <v>60.259725000000003</v>
      </c>
      <c r="D44" s="174">
        <v>0</v>
      </c>
      <c r="E44" s="166">
        <f>'Mob Demob'!$J$4</f>
        <v>0</v>
      </c>
      <c r="F44" s="167">
        <f>'Mob Demob'!$J$3</f>
        <v>0</v>
      </c>
      <c r="G44" s="168">
        <f t="shared" si="2"/>
        <v>0.5</v>
      </c>
      <c r="H44" s="168">
        <f t="shared" si="3"/>
        <v>0</v>
      </c>
      <c r="I44" s="168">
        <f t="shared" si="4"/>
        <v>0</v>
      </c>
      <c r="J44" s="169">
        <f>IF('Mob Demob'!J$3&gt;50,H44+I44,0)</f>
        <v>0</v>
      </c>
    </row>
    <row r="45" spans="1:10">
      <c r="A45" s="5" t="s">
        <v>49</v>
      </c>
      <c r="B45" s="2">
        <f>'SRCE Eqipment'!$C$37</f>
        <v>50.875</v>
      </c>
      <c r="C45" s="2">
        <f>'Davis-Bacon Wages'!$K$37</f>
        <v>60.259725000000003</v>
      </c>
      <c r="D45" s="174">
        <v>0</v>
      </c>
      <c r="E45" s="166">
        <f>'Mob Demob'!$J$4</f>
        <v>0</v>
      </c>
      <c r="F45" s="167">
        <f>'Mob Demob'!$J$3</f>
        <v>0</v>
      </c>
      <c r="G45" s="168">
        <f t="shared" si="2"/>
        <v>0.5</v>
      </c>
      <c r="H45" s="168">
        <f t="shared" si="3"/>
        <v>0</v>
      </c>
      <c r="I45" s="168">
        <f t="shared" si="4"/>
        <v>0</v>
      </c>
      <c r="J45" s="169">
        <f>IF('Mob Demob'!J$3&gt;50,H45+I45,0)</f>
        <v>0</v>
      </c>
    </row>
    <row r="46" spans="1:10">
      <c r="A46" s="5" t="s">
        <v>50</v>
      </c>
      <c r="B46" s="2">
        <f>'SRCE Eqipment'!$C$37</f>
        <v>50.875</v>
      </c>
      <c r="C46" s="2">
        <f>'Davis-Bacon Wages'!$K$37</f>
        <v>60.259725000000003</v>
      </c>
      <c r="D46" s="174">
        <v>0</v>
      </c>
      <c r="E46" s="166">
        <f>'Mob Demob'!$J$4</f>
        <v>0</v>
      </c>
      <c r="F46" s="167">
        <f>'Mob Demob'!$J$3</f>
        <v>0</v>
      </c>
      <c r="G46" s="168">
        <f t="shared" si="2"/>
        <v>0.5</v>
      </c>
      <c r="H46" s="168">
        <f t="shared" si="3"/>
        <v>0</v>
      </c>
      <c r="I46" s="168">
        <f t="shared" si="4"/>
        <v>0</v>
      </c>
      <c r="J46" s="169">
        <f>IF('Mob Demob'!J$3&gt;50,H46+I46,0)</f>
        <v>0</v>
      </c>
    </row>
    <row r="47" spans="1:10">
      <c r="A47" s="5" t="s">
        <v>51</v>
      </c>
      <c r="B47" s="2">
        <f>'SRCE Eqipment'!$C$37</f>
        <v>50.875</v>
      </c>
      <c r="C47" s="2">
        <f>'Davis-Bacon Wages'!$K$37</f>
        <v>60.259725000000003</v>
      </c>
      <c r="D47" s="174">
        <v>0</v>
      </c>
      <c r="E47" s="166">
        <f>'Mob Demob'!$J$4</f>
        <v>0</v>
      </c>
      <c r="F47" s="167">
        <f>'Mob Demob'!$J$3</f>
        <v>0</v>
      </c>
      <c r="G47" s="168">
        <f t="shared" si="2"/>
        <v>0.5</v>
      </c>
      <c r="H47" s="168">
        <f t="shared" si="3"/>
        <v>0</v>
      </c>
      <c r="I47" s="168">
        <f t="shared" si="4"/>
        <v>0</v>
      </c>
      <c r="J47" s="169">
        <f>IF('Mob Demob'!J$3&gt;50,H47+I47,0)</f>
        <v>0</v>
      </c>
    </row>
    <row r="48" spans="1:10" ht="15.75" thickBot="1">
      <c r="A48" s="5" t="s">
        <v>52</v>
      </c>
      <c r="B48" s="2">
        <f>'SRCE Eqipment'!$C$37</f>
        <v>50.875</v>
      </c>
      <c r="C48" s="2">
        <f>'Davis-Bacon Wages'!$K$37</f>
        <v>60.259725000000003</v>
      </c>
      <c r="D48" s="174">
        <v>0</v>
      </c>
      <c r="E48" s="166">
        <f>'Mob Demob'!$J$4</f>
        <v>0</v>
      </c>
      <c r="F48" s="167">
        <f>'Mob Demob'!$J$3</f>
        <v>0</v>
      </c>
      <c r="G48" s="168">
        <f t="shared" si="2"/>
        <v>0.5</v>
      </c>
      <c r="H48" s="168">
        <f t="shared" si="3"/>
        <v>0</v>
      </c>
      <c r="I48" s="168">
        <f t="shared" si="4"/>
        <v>0</v>
      </c>
      <c r="J48" s="169">
        <f>IF('Mob Demob'!J$3&gt;50,H48+I48,0)</f>
        <v>0</v>
      </c>
    </row>
    <row r="49" spans="1:11" ht="16.5" thickBot="1">
      <c r="A49" s="185" t="s">
        <v>53</v>
      </c>
      <c r="B49" s="170"/>
      <c r="C49" s="170"/>
      <c r="D49" s="171"/>
      <c r="E49" s="172"/>
      <c r="F49" s="170"/>
      <c r="G49" s="170"/>
      <c r="H49" s="170"/>
      <c r="I49" s="170"/>
      <c r="J49" s="173"/>
    </row>
    <row r="50" spans="1:11">
      <c r="A50" s="7">
        <v>725</v>
      </c>
      <c r="B50" s="2">
        <f>'SRCE Eqipment'!$C$37</f>
        <v>50.875</v>
      </c>
      <c r="C50" s="2">
        <f>'Davis-Bacon Wages'!$K$37</f>
        <v>60.259725000000003</v>
      </c>
      <c r="D50" s="174">
        <v>0</v>
      </c>
      <c r="E50" s="166">
        <f>'Mob Demob'!$J$4</f>
        <v>0</v>
      </c>
      <c r="F50" s="167">
        <f>'Mob Demob'!$J$3</f>
        <v>0</v>
      </c>
      <c r="G50" s="168">
        <f t="shared" si="2"/>
        <v>0.5</v>
      </c>
      <c r="H50" s="168">
        <f t="shared" ref="H50:H56" si="5">(B50*D50*E50)+(0.15*F50*G50*D50)</f>
        <v>0</v>
      </c>
      <c r="I50" s="168">
        <f t="shared" ref="I50:I56" si="6">(C50*D50*E50)+(0.85*F50*G50*D50)</f>
        <v>0</v>
      </c>
      <c r="J50" s="169">
        <f>IF('Mob Demob'!J$3&gt;50,H50+I50,0)</f>
        <v>0</v>
      </c>
      <c r="K50" s="2"/>
    </row>
    <row r="51" spans="1:11">
      <c r="A51" s="7">
        <v>740</v>
      </c>
      <c r="B51" s="2">
        <f>'SRCE Eqipment'!$C$37</f>
        <v>50.875</v>
      </c>
      <c r="C51" s="2">
        <f>'Davis-Bacon Wages'!$K$37</f>
        <v>60.259725000000003</v>
      </c>
      <c r="D51" s="174">
        <v>1</v>
      </c>
      <c r="E51" s="166">
        <f>'Mob Demob'!$J$4</f>
        <v>0</v>
      </c>
      <c r="F51" s="167">
        <f>'Mob Demob'!$J$3</f>
        <v>0</v>
      </c>
      <c r="G51" s="168">
        <f t="shared" si="2"/>
        <v>0.5</v>
      </c>
      <c r="H51" s="168">
        <f t="shared" si="5"/>
        <v>0</v>
      </c>
      <c r="I51" s="168">
        <f t="shared" si="6"/>
        <v>0</v>
      </c>
      <c r="J51" s="169">
        <f>IF('Mob Demob'!J$3&gt;50,H51+I51,0)</f>
        <v>0</v>
      </c>
      <c r="K51" s="2"/>
    </row>
    <row r="52" spans="1:11">
      <c r="A52" s="7" t="s">
        <v>54</v>
      </c>
      <c r="B52" s="2">
        <f>'SRCE Eqipment'!$C$37</f>
        <v>50.875</v>
      </c>
      <c r="C52" s="2">
        <f>'Davis-Bacon Wages'!$K$37</f>
        <v>60.259725000000003</v>
      </c>
      <c r="D52" s="174">
        <v>2</v>
      </c>
      <c r="E52" s="166">
        <f>'Mob Demob'!$J$4</f>
        <v>0</v>
      </c>
      <c r="F52" s="167">
        <f>'Mob Demob'!$J$3</f>
        <v>0</v>
      </c>
      <c r="G52" s="168">
        <f t="shared" si="2"/>
        <v>0.5</v>
      </c>
      <c r="H52" s="168">
        <f t="shared" si="5"/>
        <v>0</v>
      </c>
      <c r="I52" s="168">
        <f t="shared" si="6"/>
        <v>0</v>
      </c>
      <c r="J52" s="169">
        <f>IF('Mob Demob'!J$3&gt;50,H52+I52,0)</f>
        <v>0</v>
      </c>
    </row>
    <row r="53" spans="1:11">
      <c r="A53" s="7" t="s">
        <v>55</v>
      </c>
      <c r="B53" s="2">
        <f>'SRCE Eqipment'!$C$37</f>
        <v>50.875</v>
      </c>
      <c r="C53" s="2">
        <f>'Davis-Bacon Wages'!$K$37</f>
        <v>60.259725000000003</v>
      </c>
      <c r="D53" s="174">
        <v>3</v>
      </c>
      <c r="E53" s="166">
        <f>'Mob Demob'!$J$4</f>
        <v>0</v>
      </c>
      <c r="F53" s="167">
        <f>'Mob Demob'!$J$3</f>
        <v>0</v>
      </c>
      <c r="G53" s="168">
        <f t="shared" si="2"/>
        <v>0.5</v>
      </c>
      <c r="H53" s="168">
        <f t="shared" si="5"/>
        <v>0</v>
      </c>
      <c r="I53" s="168">
        <f t="shared" si="6"/>
        <v>0</v>
      </c>
      <c r="J53" s="169">
        <f>IF('Mob Demob'!J$3&gt;50,H53+I53,0)</f>
        <v>0</v>
      </c>
    </row>
    <row r="54" spans="1:11">
      <c r="A54" s="4" t="s">
        <v>56</v>
      </c>
      <c r="B54" s="2">
        <f>'SRCE Eqipment'!$C$37</f>
        <v>50.875</v>
      </c>
      <c r="C54" s="2">
        <f>'Davis-Bacon Wages'!$K$37</f>
        <v>60.259725000000003</v>
      </c>
      <c r="D54" s="174">
        <v>0</v>
      </c>
      <c r="E54" s="166">
        <f>'Mob Demob'!$J$4</f>
        <v>0</v>
      </c>
      <c r="F54" s="167">
        <f>'Mob Demob'!$J$3</f>
        <v>0</v>
      </c>
      <c r="G54" s="168">
        <f t="shared" si="2"/>
        <v>0.5</v>
      </c>
      <c r="H54" s="168">
        <f t="shared" si="5"/>
        <v>0</v>
      </c>
      <c r="I54" s="168">
        <f t="shared" si="6"/>
        <v>0</v>
      </c>
      <c r="J54" s="169">
        <f>IF('Mob Demob'!J$3&gt;50,H54+I54,0)</f>
        <v>0</v>
      </c>
    </row>
    <row r="55" spans="1:11">
      <c r="A55" s="4" t="s">
        <v>57</v>
      </c>
      <c r="B55" s="2">
        <f>'SRCE Eqipment'!$C$37</f>
        <v>50.875</v>
      </c>
      <c r="C55" s="2">
        <f>'Davis-Bacon Wages'!$K$37</f>
        <v>60.259725000000003</v>
      </c>
      <c r="D55" s="174">
        <v>2</v>
      </c>
      <c r="E55" s="166">
        <f>'Mob Demob'!$J$4</f>
        <v>0</v>
      </c>
      <c r="F55" s="167">
        <f>'Mob Demob'!$J$3</f>
        <v>0</v>
      </c>
      <c r="G55" s="168">
        <f t="shared" si="2"/>
        <v>0.5</v>
      </c>
      <c r="H55" s="168">
        <f t="shared" si="5"/>
        <v>0</v>
      </c>
      <c r="I55" s="168">
        <f t="shared" si="6"/>
        <v>0</v>
      </c>
      <c r="J55" s="169">
        <f>IF('Mob Demob'!J$3&gt;50,H55+I55,0)</f>
        <v>0</v>
      </c>
    </row>
    <row r="56" spans="1:11" ht="15.75" thickBot="1">
      <c r="A56" s="12" t="s">
        <v>58</v>
      </c>
      <c r="B56" s="2">
        <f>'SRCE Eqipment'!$C$37</f>
        <v>50.875</v>
      </c>
      <c r="C56" s="2">
        <f>'Davis-Bacon Wages'!$K$37</f>
        <v>60.259725000000003</v>
      </c>
      <c r="D56" s="174">
        <v>0</v>
      </c>
      <c r="E56" s="166">
        <f>'Mob Demob'!$J$4</f>
        <v>0</v>
      </c>
      <c r="F56" s="167">
        <f>'Mob Demob'!$J$3</f>
        <v>0</v>
      </c>
      <c r="G56" s="168">
        <f t="shared" si="2"/>
        <v>0.5</v>
      </c>
      <c r="H56" s="168">
        <f t="shared" si="5"/>
        <v>0</v>
      </c>
      <c r="I56" s="168">
        <f t="shared" si="6"/>
        <v>0</v>
      </c>
      <c r="J56" s="169">
        <f>IF('Mob Demob'!J$3&gt;50,H56+I56,0)</f>
        <v>0</v>
      </c>
    </row>
    <row r="57" spans="1:11" ht="15.75" thickBot="1">
      <c r="A57" s="156" t="s">
        <v>59</v>
      </c>
      <c r="B57" s="170"/>
      <c r="C57" s="170"/>
      <c r="D57" s="171"/>
      <c r="E57" s="172"/>
      <c r="F57" s="170"/>
      <c r="G57" s="170"/>
      <c r="H57" s="170"/>
      <c r="I57" s="170"/>
      <c r="J57" s="173"/>
    </row>
    <row r="58" spans="1:11" ht="26.25">
      <c r="A58" s="84" t="s">
        <v>60</v>
      </c>
      <c r="B58" s="175">
        <f>'SRCE Eqipment'!$C$37</f>
        <v>50.875</v>
      </c>
      <c r="C58" s="175">
        <f>'Davis-Bacon Wages'!$K$37</f>
        <v>60.259725000000003</v>
      </c>
      <c r="D58" s="176">
        <v>0</v>
      </c>
      <c r="E58" s="177">
        <f>'Mob Demob'!$J$4</f>
        <v>0</v>
      </c>
      <c r="F58" s="167">
        <f>'Mob Demob'!$J$3</f>
        <v>0</v>
      </c>
      <c r="G58" s="168">
        <f t="shared" si="2"/>
        <v>0.5</v>
      </c>
      <c r="H58" s="168">
        <f>(B58*D58*E58)+(0.15*F58*G58*D58)</f>
        <v>0</v>
      </c>
      <c r="I58" s="168">
        <f>(C58*D58*E58)+(0.85*F58*G58*D58)</f>
        <v>0</v>
      </c>
      <c r="J58" s="178">
        <f>IF('Mob Demob'!J$3&gt;50,H58+I58,0)</f>
        <v>0</v>
      </c>
    </row>
    <row r="59" spans="1:11">
      <c r="A59" s="125" t="s">
        <v>61</v>
      </c>
      <c r="B59" s="2">
        <f>'SRCE Eqipment'!$C$37</f>
        <v>50.875</v>
      </c>
      <c r="C59" s="2">
        <f>'Davis-Bacon Wages'!$K$37</f>
        <v>60.259725000000003</v>
      </c>
      <c r="D59" s="174">
        <v>0</v>
      </c>
      <c r="E59" s="166">
        <f>'Mob Demob'!$J$4</f>
        <v>0</v>
      </c>
      <c r="F59" s="167">
        <f>'Mob Demob'!$J$3</f>
        <v>0</v>
      </c>
      <c r="G59" s="168">
        <f t="shared" si="2"/>
        <v>0.5</v>
      </c>
      <c r="H59" s="168">
        <f>(B59*D59*E59)+(0.15*F59*G59*D59)</f>
        <v>0</v>
      </c>
      <c r="I59" s="168">
        <f>(C59*D59*E59)+(0.85*F59*G59*D59)</f>
        <v>0</v>
      </c>
      <c r="J59" s="169">
        <f>IF('Mob Demob'!J$3&gt;50,H59+I59,0)</f>
        <v>0</v>
      </c>
    </row>
    <row r="60" spans="1:11">
      <c r="A60" s="126" t="s">
        <v>62</v>
      </c>
      <c r="B60" s="2">
        <f>'SRCE Eqipment'!$C$37</f>
        <v>50.875</v>
      </c>
      <c r="C60" s="2">
        <f>'Davis-Bacon Wages'!$K$37</f>
        <v>60.259725000000003</v>
      </c>
      <c r="D60" s="174">
        <v>0</v>
      </c>
      <c r="E60" s="166">
        <f>'Mob Demob'!$J$4</f>
        <v>0</v>
      </c>
      <c r="F60" s="167">
        <f>'Mob Demob'!$J$3</f>
        <v>0</v>
      </c>
      <c r="G60" s="168">
        <f t="shared" si="2"/>
        <v>0.5</v>
      </c>
      <c r="H60" s="168">
        <f>(B60*D60*E60)+(0.15*F60*G60*D60)</f>
        <v>0</v>
      </c>
      <c r="I60" s="168">
        <f>(C60*D60*E60)+(0.85*F60*G60*D60)</f>
        <v>0</v>
      </c>
      <c r="J60" s="169">
        <f>IF('Mob Demob'!J$3&gt;50,H60+I60,0)</f>
        <v>0</v>
      </c>
    </row>
    <row r="61" spans="1:11">
      <c r="A61" s="126" t="s">
        <v>63</v>
      </c>
      <c r="B61" s="2">
        <f>'SRCE Eqipment'!$C$37</f>
        <v>50.875</v>
      </c>
      <c r="C61" s="2">
        <f>'Davis-Bacon Wages'!$K$37</f>
        <v>60.259725000000003</v>
      </c>
      <c r="D61" s="174">
        <v>0</v>
      </c>
      <c r="E61" s="166">
        <f>'Mob Demob'!$J$4</f>
        <v>0</v>
      </c>
      <c r="F61" s="167">
        <f>'Mob Demob'!$J$3</f>
        <v>0</v>
      </c>
      <c r="G61" s="168">
        <f t="shared" si="2"/>
        <v>0.5</v>
      </c>
      <c r="H61" s="168">
        <f>(B61*D61*E61)+(0.15*F61*G61*D61)</f>
        <v>0</v>
      </c>
      <c r="I61" s="168">
        <f>(C61*D61*E61)+(0.85*F61*G61*D61)</f>
        <v>0</v>
      </c>
      <c r="J61" s="169">
        <f>IF('Mob Demob'!J$3&gt;50,H61+I61,0)</f>
        <v>0</v>
      </c>
    </row>
    <row r="62" spans="1:11">
      <c r="A62" s="126" t="s">
        <v>64</v>
      </c>
      <c r="B62" s="2">
        <f>'SRCE Eqipment'!$C$37</f>
        <v>50.875</v>
      </c>
      <c r="C62" s="2">
        <f>'Davis-Bacon Wages'!$K$37</f>
        <v>60.259725000000003</v>
      </c>
      <c r="D62" s="174">
        <v>0</v>
      </c>
      <c r="E62" s="166">
        <f>'Mob Demob'!$J$4</f>
        <v>0</v>
      </c>
      <c r="F62" s="167">
        <f>'Mob Demob'!$J$3</f>
        <v>0</v>
      </c>
      <c r="G62" s="168">
        <f t="shared" si="2"/>
        <v>0.5</v>
      </c>
      <c r="H62" s="168">
        <f>(B62*D62*E62)+(0.15*F62*G62*D62)</f>
        <v>0</v>
      </c>
      <c r="I62" s="168">
        <f>(C62*D62*E62)+(0.85*F62*G62*D62)</f>
        <v>0</v>
      </c>
      <c r="J62" s="169">
        <f>IF('Mob Demob'!J$3&gt;50,H62+I62,0)</f>
        <v>0</v>
      </c>
    </row>
    <row r="63" spans="1:11">
      <c r="A63" s="107"/>
      <c r="J63" s="155"/>
    </row>
    <row r="64" spans="1:11">
      <c r="A64" s="142" t="s">
        <v>122</v>
      </c>
      <c r="B64" s="2"/>
      <c r="C64" s="2"/>
      <c r="D64" s="174"/>
      <c r="J64" s="155"/>
    </row>
    <row r="65" spans="1:10">
      <c r="A65" s="179" t="s">
        <v>110</v>
      </c>
      <c r="B65" s="2"/>
      <c r="C65" s="2"/>
      <c r="D65" s="174"/>
      <c r="J65" s="155"/>
    </row>
    <row r="66" spans="1:10">
      <c r="A66" s="179" t="s">
        <v>111</v>
      </c>
      <c r="B66" s="2"/>
      <c r="C66" s="2"/>
      <c r="D66" s="174"/>
      <c r="J66" s="155"/>
    </row>
    <row r="67" spans="1:10">
      <c r="A67" s="180" t="s">
        <v>131</v>
      </c>
      <c r="B67" s="21"/>
      <c r="C67" s="21"/>
      <c r="J67" s="155"/>
    </row>
    <row r="68" spans="1:10" ht="51">
      <c r="A68" s="181" t="s">
        <v>112</v>
      </c>
      <c r="B68" s="22" t="s">
        <v>113</v>
      </c>
      <c r="C68" s="23" t="s">
        <v>114</v>
      </c>
      <c r="J68" s="155"/>
    </row>
    <row r="69" spans="1:10" ht="25.5">
      <c r="A69" s="182">
        <v>2</v>
      </c>
      <c r="B69" s="22" t="s">
        <v>115</v>
      </c>
      <c r="C69" s="23" t="s">
        <v>116</v>
      </c>
      <c r="J69" s="155"/>
    </row>
    <row r="70" spans="1:10" ht="38.25">
      <c r="A70" s="182">
        <v>2</v>
      </c>
      <c r="B70" s="22" t="s">
        <v>117</v>
      </c>
      <c r="C70" s="23" t="s">
        <v>118</v>
      </c>
      <c r="J70" s="155"/>
    </row>
    <row r="71" spans="1:10" ht="63.75">
      <c r="A71" s="182">
        <v>2</v>
      </c>
      <c r="B71" s="22" t="s">
        <v>119</v>
      </c>
      <c r="C71" s="23" t="s">
        <v>120</v>
      </c>
      <c r="J71" s="155"/>
    </row>
    <row r="72" spans="1:10" ht="25.5">
      <c r="A72" s="182">
        <v>4</v>
      </c>
      <c r="B72" s="22" t="s">
        <v>117</v>
      </c>
      <c r="C72" s="23" t="s">
        <v>121</v>
      </c>
      <c r="J72" s="155"/>
    </row>
    <row r="73" spans="1:10" ht="38.25">
      <c r="A73" s="182">
        <v>4</v>
      </c>
      <c r="B73" s="22" t="s">
        <v>119</v>
      </c>
      <c r="C73" s="23" t="s">
        <v>118</v>
      </c>
      <c r="J73" s="155"/>
    </row>
    <row r="74" spans="1:10" ht="15.75" thickBot="1">
      <c r="A74" s="183" t="s">
        <v>125</v>
      </c>
      <c r="B74" s="184"/>
      <c r="C74" s="184"/>
      <c r="D74" s="184"/>
      <c r="E74" s="184"/>
      <c r="F74" s="184"/>
      <c r="G74" s="184"/>
      <c r="H74" s="184"/>
      <c r="I74" s="184"/>
      <c r="J74" s="158"/>
    </row>
  </sheetData>
  <sheetProtection algorithmName="SHA-512" hashValue="TqmxTJ1/XXpEp8r9pg8Qx52wzwwdu+ii00ASxZtfSbJ8WiC1O6Kf5mxfxm+zbL9NDDDmP/oNkaNHzwtOrnAhIw==" saltValue="ZdtJcQvNb4Ulc16COHiuJg==" spinCount="100000" sheet="1" objects="1" scenarios="1"/>
  <mergeCells count="1">
    <mergeCell ref="A4:J4"/>
  </mergeCells>
  <phoneticPr fontId="27" type="noConversion"/>
  <hyperlinks>
    <hyperlink ref="A67" r:id="rId1" location="pilot" xr:uid="{00000000-0004-0000-0200-000000000000}"/>
  </hyperlinks>
  <printOptions horizontalCentered="1" verticalCentered="1"/>
  <pageMargins left="0.7" right="0.7" top="0.75" bottom="0.75" header="0.3" footer="0.3"/>
  <pageSetup scale="53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S64"/>
  <sheetViews>
    <sheetView view="pageBreakPreview" zoomScaleNormal="100" zoomScaleSheetLayoutView="100" workbookViewId="0">
      <selection activeCell="A4" sqref="A4:C4"/>
    </sheetView>
  </sheetViews>
  <sheetFormatPr defaultColWidth="9.140625" defaultRowHeight="15"/>
  <cols>
    <col min="1" max="1" width="50.42578125" customWidth="1"/>
    <col min="2" max="2" width="11.28515625" customWidth="1"/>
    <col min="3" max="4" width="13" customWidth="1"/>
    <col min="5" max="5" width="15.5703125" customWidth="1"/>
    <col min="6" max="6" width="17.140625" customWidth="1"/>
    <col min="7" max="7" width="15.28515625" customWidth="1"/>
    <col min="18" max="18" width="12.42578125" customWidth="1"/>
  </cols>
  <sheetData>
    <row r="1" spans="1:7">
      <c r="A1" s="160"/>
      <c r="B1" s="161"/>
      <c r="C1" s="154"/>
    </row>
    <row r="2" spans="1:7">
      <c r="A2" s="107"/>
      <c r="C2" s="155"/>
    </row>
    <row r="3" spans="1:7">
      <c r="A3" s="107"/>
      <c r="C3" s="155"/>
    </row>
    <row r="4" spans="1:7">
      <c r="A4" s="282" t="s">
        <v>154</v>
      </c>
      <c r="B4" s="283"/>
      <c r="C4" s="284"/>
    </row>
    <row r="5" spans="1:7" ht="48" thickBot="1">
      <c r="A5" s="221" t="s">
        <v>2</v>
      </c>
      <c r="B5" s="222" t="s">
        <v>128</v>
      </c>
      <c r="C5" s="223" t="s">
        <v>83</v>
      </c>
      <c r="D5" s="17"/>
      <c r="E5" s="24"/>
      <c r="F5" s="17"/>
      <c r="G5" s="17"/>
    </row>
    <row r="6" spans="1:7" ht="16.5" thickBot="1">
      <c r="A6" s="214" t="s">
        <v>11</v>
      </c>
      <c r="B6" s="224"/>
      <c r="C6" s="158"/>
      <c r="E6" s="25"/>
    </row>
    <row r="7" spans="1:7">
      <c r="A7" s="1" t="s">
        <v>12</v>
      </c>
      <c r="B7" s="225">
        <v>5095</v>
      </c>
      <c r="C7" s="226">
        <f>B7/40</f>
        <v>127.375</v>
      </c>
      <c r="D7" s="227"/>
      <c r="E7" s="25"/>
      <c r="F7" s="25"/>
      <c r="G7" s="26"/>
    </row>
    <row r="8" spans="1:7">
      <c r="A8" s="4" t="s">
        <v>13</v>
      </c>
      <c r="B8" s="228">
        <v>5620</v>
      </c>
      <c r="C8" s="226">
        <f>B8/40</f>
        <v>140.5</v>
      </c>
      <c r="D8" s="227"/>
      <c r="E8" s="25"/>
      <c r="F8" s="25"/>
      <c r="G8" s="26"/>
    </row>
    <row r="9" spans="1:7">
      <c r="A9" s="4" t="s">
        <v>14</v>
      </c>
      <c r="B9" s="228">
        <v>10600</v>
      </c>
      <c r="C9" s="226">
        <f>B9/40</f>
        <v>265</v>
      </c>
      <c r="D9" s="227"/>
      <c r="E9" s="25"/>
      <c r="F9" s="25"/>
      <c r="G9" s="26"/>
    </row>
    <row r="10" spans="1:7">
      <c r="A10" s="4" t="s">
        <v>15</v>
      </c>
      <c r="B10" s="228">
        <v>13475</v>
      </c>
      <c r="C10" s="226">
        <f>B10/40</f>
        <v>336.875</v>
      </c>
      <c r="D10" s="227"/>
      <c r="E10" s="25"/>
      <c r="F10" s="25"/>
      <c r="G10" s="26"/>
    </row>
    <row r="11" spans="1:7">
      <c r="A11" s="4" t="s">
        <v>16</v>
      </c>
      <c r="B11" s="229">
        <v>18615</v>
      </c>
      <c r="C11" s="226">
        <f>B11/40</f>
        <v>465.375</v>
      </c>
      <c r="D11" s="227"/>
      <c r="E11" s="25"/>
      <c r="F11" s="25"/>
      <c r="G11" s="26"/>
    </row>
    <row r="12" spans="1:7" ht="15.75" thickBot="1">
      <c r="A12" s="37" t="s">
        <v>17</v>
      </c>
      <c r="B12" s="229">
        <v>19226.285714285714</v>
      </c>
      <c r="C12" s="230">
        <v>480.65714285714284</v>
      </c>
      <c r="D12" s="227"/>
      <c r="E12" s="25"/>
      <c r="F12" s="25"/>
      <c r="G12" s="26"/>
    </row>
    <row r="13" spans="1:7" ht="16.5" thickBot="1">
      <c r="A13" s="231" t="s">
        <v>18</v>
      </c>
      <c r="B13" s="232"/>
      <c r="C13" s="233"/>
      <c r="D13" s="227"/>
      <c r="E13" s="27"/>
      <c r="F13" s="27"/>
      <c r="G13" s="28"/>
    </row>
    <row r="14" spans="1:7">
      <c r="A14" s="7" t="s">
        <v>19</v>
      </c>
      <c r="B14" s="228">
        <v>7140</v>
      </c>
      <c r="C14" s="226">
        <f>B14/40</f>
        <v>178.5</v>
      </c>
      <c r="D14" s="227"/>
      <c r="E14" s="25"/>
      <c r="F14" s="25"/>
      <c r="G14" s="29"/>
    </row>
    <row r="15" spans="1:7" ht="15.75" thickBot="1">
      <c r="A15" s="234" t="s">
        <v>20</v>
      </c>
      <c r="B15" s="228">
        <v>7015</v>
      </c>
      <c r="C15" s="226">
        <f>B15/40</f>
        <v>175.375</v>
      </c>
      <c r="D15" s="227"/>
      <c r="E15" s="25"/>
      <c r="F15" s="25"/>
      <c r="G15" s="29"/>
    </row>
    <row r="16" spans="1:7" ht="16.5" thickBot="1">
      <c r="A16" s="215" t="s">
        <v>21</v>
      </c>
      <c r="B16" s="232"/>
      <c r="C16" s="236"/>
      <c r="D16" s="227"/>
      <c r="E16" s="27"/>
      <c r="F16" s="27"/>
      <c r="G16" s="28"/>
    </row>
    <row r="17" spans="1:7">
      <c r="A17" s="1" t="s">
        <v>22</v>
      </c>
      <c r="B17" s="237">
        <v>3045</v>
      </c>
      <c r="C17" s="226">
        <f>B17/40</f>
        <v>76.125</v>
      </c>
      <c r="D17" s="227"/>
      <c r="E17" s="25"/>
      <c r="F17" s="25"/>
      <c r="G17" s="26"/>
    </row>
    <row r="18" spans="1:7">
      <c r="A18" s="4" t="s">
        <v>23</v>
      </c>
      <c r="B18" s="228">
        <v>3635</v>
      </c>
      <c r="C18" s="226">
        <f>B18/40</f>
        <v>90.875</v>
      </c>
      <c r="D18" s="227"/>
      <c r="E18" s="25"/>
      <c r="F18" s="25"/>
      <c r="G18" s="26"/>
    </row>
    <row r="19" spans="1:7">
      <c r="A19" s="8" t="s">
        <v>24</v>
      </c>
      <c r="B19" s="228">
        <v>7875</v>
      </c>
      <c r="C19" s="226">
        <f>B19/40</f>
        <v>196.875</v>
      </c>
      <c r="D19" s="227"/>
      <c r="E19" s="25"/>
      <c r="F19" s="25"/>
      <c r="G19" s="26"/>
    </row>
    <row r="20" spans="1:7" ht="15.75" thickBot="1">
      <c r="A20" s="238" t="s">
        <v>25</v>
      </c>
      <c r="B20" s="235">
        <v>10990</v>
      </c>
      <c r="C20" s="226">
        <f>B20/40</f>
        <v>274.75</v>
      </c>
      <c r="D20" s="227"/>
      <c r="E20" s="25"/>
      <c r="F20" s="25"/>
      <c r="G20" s="26"/>
    </row>
    <row r="21" spans="1:7" ht="16.5" thickBot="1">
      <c r="A21" s="215" t="s">
        <v>26</v>
      </c>
      <c r="B21" s="232"/>
      <c r="C21" s="236"/>
      <c r="D21" s="227"/>
      <c r="E21" s="27"/>
      <c r="F21" s="27"/>
      <c r="G21" s="28"/>
    </row>
    <row r="22" spans="1:7">
      <c r="A22" s="8" t="s">
        <v>27</v>
      </c>
      <c r="B22" s="239">
        <v>9450</v>
      </c>
      <c r="C22" s="226">
        <f>B22/40</f>
        <v>236.25</v>
      </c>
      <c r="D22" s="227"/>
      <c r="E22" s="25"/>
      <c r="F22" s="25"/>
      <c r="G22" s="29"/>
    </row>
    <row r="23" spans="1:7" ht="15.75" thickBot="1">
      <c r="A23" s="238" t="s">
        <v>28</v>
      </c>
      <c r="B23" s="263">
        <v>10920.75</v>
      </c>
      <c r="C23" s="226">
        <f>B23/40</f>
        <v>273.01875000000001</v>
      </c>
      <c r="D23" s="227"/>
      <c r="E23" s="25"/>
      <c r="F23" s="25"/>
      <c r="G23" s="29"/>
    </row>
    <row r="24" spans="1:7" ht="16.5" thickBot="1">
      <c r="A24" s="215" t="s">
        <v>29</v>
      </c>
      <c r="B24" s="232"/>
      <c r="C24" s="236"/>
      <c r="D24" s="227"/>
      <c r="E24" s="27"/>
      <c r="F24" s="27"/>
      <c r="G24" s="28"/>
    </row>
    <row r="25" spans="1:7">
      <c r="A25" s="8" t="s">
        <v>30</v>
      </c>
      <c r="B25" s="240">
        <v>2715</v>
      </c>
      <c r="C25" s="226">
        <f>B25/40</f>
        <v>67.875</v>
      </c>
      <c r="D25" s="227"/>
      <c r="E25" s="25"/>
      <c r="F25" s="25"/>
      <c r="G25" s="29"/>
    </row>
    <row r="26" spans="1:7">
      <c r="A26" s="241" t="s">
        <v>31</v>
      </c>
      <c r="B26" s="242">
        <v>5385</v>
      </c>
      <c r="C26" s="226">
        <f>B26/40</f>
        <v>134.625</v>
      </c>
      <c r="D26" s="227"/>
      <c r="E26" s="25"/>
      <c r="F26" s="25"/>
      <c r="G26" s="29"/>
    </row>
    <row r="27" spans="1:7">
      <c r="A27" s="241" t="s">
        <v>32</v>
      </c>
      <c r="B27" s="242">
        <v>6925</v>
      </c>
      <c r="C27" s="226">
        <f>B27/40</f>
        <v>173.125</v>
      </c>
      <c r="D27" s="227"/>
      <c r="E27" s="25"/>
      <c r="F27" s="25"/>
      <c r="G27" s="29"/>
    </row>
    <row r="28" spans="1:7">
      <c r="A28" s="8" t="s">
        <v>33</v>
      </c>
      <c r="B28" s="243">
        <v>11770</v>
      </c>
      <c r="C28" s="226">
        <f>B28/40</f>
        <v>294.25</v>
      </c>
      <c r="D28" s="227"/>
      <c r="E28" s="25"/>
      <c r="F28" s="25"/>
      <c r="G28" s="29"/>
    </row>
    <row r="29" spans="1:7" ht="15.75" thickBot="1">
      <c r="A29" s="37" t="s">
        <v>34</v>
      </c>
      <c r="B29" s="264">
        <v>18875</v>
      </c>
      <c r="C29" s="226">
        <f>B29/40</f>
        <v>471.875</v>
      </c>
      <c r="D29" s="227"/>
      <c r="E29" s="25"/>
      <c r="F29" s="25"/>
      <c r="G29" s="29"/>
    </row>
    <row r="30" spans="1:7" ht="16.5" thickBot="1">
      <c r="A30" s="231" t="s">
        <v>132</v>
      </c>
      <c r="B30" s="244"/>
      <c r="C30" s="236"/>
      <c r="D30" s="227"/>
      <c r="E30" s="30"/>
      <c r="F30" s="27"/>
      <c r="G30" s="28"/>
    </row>
    <row r="31" spans="1:7">
      <c r="A31" s="8" t="s">
        <v>35</v>
      </c>
      <c r="B31" s="245">
        <v>4410</v>
      </c>
      <c r="C31" s="226">
        <f>B31/40</f>
        <v>110.25</v>
      </c>
      <c r="D31" s="227"/>
      <c r="E31" s="31"/>
      <c r="F31" s="25"/>
      <c r="G31" s="26"/>
    </row>
    <row r="32" spans="1:7">
      <c r="A32" s="241" t="s">
        <v>36</v>
      </c>
      <c r="B32" s="246">
        <v>6040</v>
      </c>
      <c r="C32" s="226">
        <f>B32/40</f>
        <v>151</v>
      </c>
      <c r="D32" s="227"/>
      <c r="E32" s="31"/>
      <c r="F32" s="25"/>
      <c r="G32" s="26"/>
    </row>
    <row r="33" spans="1:19" ht="15.75" thickBot="1">
      <c r="A33" s="247" t="s">
        <v>37</v>
      </c>
      <c r="B33" s="243">
        <v>6930</v>
      </c>
      <c r="C33" s="226">
        <f>B33/40</f>
        <v>173.25</v>
      </c>
      <c r="D33" s="227"/>
      <c r="E33" s="31"/>
      <c r="F33" s="25"/>
      <c r="G33" s="26"/>
    </row>
    <row r="34" spans="1:19" ht="16.5" thickBot="1">
      <c r="A34" s="215" t="s">
        <v>38</v>
      </c>
      <c r="B34" s="232"/>
      <c r="C34" s="236"/>
      <c r="D34" s="227"/>
      <c r="E34" s="30"/>
      <c r="F34" s="27"/>
      <c r="G34" s="28"/>
    </row>
    <row r="35" spans="1:19">
      <c r="A35" s="248" t="s">
        <v>39</v>
      </c>
      <c r="B35" s="240">
        <v>1430</v>
      </c>
      <c r="C35" s="226">
        <f t="shared" ref="C35:C48" si="0">B35/40</f>
        <v>35.75</v>
      </c>
      <c r="D35" s="227"/>
      <c r="E35" s="25"/>
      <c r="F35" s="25"/>
      <c r="G35" s="29"/>
    </row>
    <row r="36" spans="1:19">
      <c r="A36" s="241" t="s">
        <v>40</v>
      </c>
      <c r="B36" s="240">
        <v>710</v>
      </c>
      <c r="C36" s="226">
        <f t="shared" si="0"/>
        <v>17.75</v>
      </c>
      <c r="D36" s="227"/>
      <c r="E36" s="25"/>
      <c r="F36" s="26"/>
      <c r="G36" s="26"/>
    </row>
    <row r="37" spans="1:19">
      <c r="A37" s="7" t="s">
        <v>41</v>
      </c>
      <c r="B37" s="249">
        <v>2035</v>
      </c>
      <c r="C37" s="226">
        <f t="shared" si="0"/>
        <v>50.875</v>
      </c>
      <c r="D37" s="227"/>
      <c r="E37" s="26"/>
      <c r="F37" s="26"/>
      <c r="G37" s="26"/>
      <c r="S37" s="16"/>
    </row>
    <row r="38" spans="1:19">
      <c r="A38" s="11" t="s">
        <v>42</v>
      </c>
      <c r="B38" s="249">
        <v>1140</v>
      </c>
      <c r="C38" s="226">
        <f t="shared" si="0"/>
        <v>28.5</v>
      </c>
      <c r="D38" s="227"/>
      <c r="E38" s="26"/>
      <c r="F38" s="26"/>
      <c r="G38" s="26"/>
    </row>
    <row r="39" spans="1:19">
      <c r="A39" s="11" t="s">
        <v>43</v>
      </c>
      <c r="B39" s="249">
        <v>1405.6</v>
      </c>
      <c r="C39" s="226">
        <f t="shared" si="0"/>
        <v>35.14</v>
      </c>
      <c r="D39" s="227"/>
      <c r="E39" s="26"/>
      <c r="F39" s="26"/>
      <c r="G39" s="26"/>
    </row>
    <row r="40" spans="1:19">
      <c r="A40" s="11" t="s">
        <v>44</v>
      </c>
      <c r="B40" s="249">
        <v>793</v>
      </c>
      <c r="C40" s="226">
        <f t="shared" si="0"/>
        <v>19.824999999999999</v>
      </c>
      <c r="D40" s="227"/>
      <c r="E40" s="26"/>
      <c r="F40" s="26"/>
      <c r="G40" s="26"/>
    </row>
    <row r="41" spans="1:19">
      <c r="A41" s="8" t="s">
        <v>45</v>
      </c>
      <c r="B41" s="249">
        <v>6915.0000000000009</v>
      </c>
      <c r="C41" s="226">
        <f t="shared" si="0"/>
        <v>172.87500000000003</v>
      </c>
      <c r="D41" s="227"/>
      <c r="E41" s="26"/>
      <c r="F41" s="26"/>
      <c r="G41" s="26"/>
    </row>
    <row r="42" spans="1:19">
      <c r="A42" s="4" t="s">
        <v>46</v>
      </c>
      <c r="B42" s="249">
        <v>6915.0000000000009</v>
      </c>
      <c r="C42" s="226">
        <f t="shared" si="0"/>
        <v>172.87500000000003</v>
      </c>
      <c r="D42" s="227"/>
      <c r="E42" s="26"/>
      <c r="F42" s="26"/>
      <c r="G42" s="26"/>
    </row>
    <row r="43" spans="1:19">
      <c r="A43" s="5" t="s">
        <v>47</v>
      </c>
      <c r="B43" s="242">
        <v>4175</v>
      </c>
      <c r="C43" s="226">
        <f t="shared" si="0"/>
        <v>104.375</v>
      </c>
      <c r="D43" s="227"/>
      <c r="E43" s="26"/>
      <c r="F43" s="26"/>
      <c r="G43" s="26"/>
    </row>
    <row r="44" spans="1:19">
      <c r="A44" s="4" t="s">
        <v>48</v>
      </c>
      <c r="B44" s="242">
        <v>151</v>
      </c>
      <c r="C44" s="226">
        <f t="shared" si="0"/>
        <v>3.7749999999999999</v>
      </c>
      <c r="D44" s="227"/>
      <c r="E44" s="26"/>
      <c r="F44" s="26"/>
      <c r="G44" s="26"/>
    </row>
    <row r="45" spans="1:19">
      <c r="A45" s="5" t="s">
        <v>49</v>
      </c>
      <c r="B45" s="242">
        <v>433.6</v>
      </c>
      <c r="C45" s="226">
        <f t="shared" si="0"/>
        <v>10.84</v>
      </c>
      <c r="D45" s="227"/>
      <c r="E45" s="26"/>
      <c r="F45" s="26"/>
      <c r="G45" s="26"/>
    </row>
    <row r="46" spans="1:19">
      <c r="A46" s="5" t="s">
        <v>50</v>
      </c>
      <c r="B46" s="242">
        <v>1675</v>
      </c>
      <c r="C46" s="226">
        <f t="shared" si="0"/>
        <v>41.875</v>
      </c>
      <c r="D46" s="227"/>
      <c r="E46" s="26"/>
      <c r="F46" s="26"/>
      <c r="G46" s="26"/>
    </row>
    <row r="47" spans="1:19">
      <c r="A47" s="5" t="s">
        <v>51</v>
      </c>
      <c r="B47" s="242">
        <v>1934</v>
      </c>
      <c r="C47" s="226">
        <f t="shared" si="0"/>
        <v>48.35</v>
      </c>
      <c r="D47" s="227"/>
      <c r="E47" s="32"/>
      <c r="F47" s="26"/>
      <c r="G47" s="26"/>
    </row>
    <row r="48" spans="1:19" ht="15.75" thickBot="1">
      <c r="A48" s="5" t="s">
        <v>52</v>
      </c>
      <c r="B48" s="250">
        <v>11290</v>
      </c>
      <c r="C48" s="226">
        <f t="shared" si="0"/>
        <v>282.25</v>
      </c>
      <c r="D48" s="227"/>
      <c r="E48" s="32"/>
      <c r="F48" s="26"/>
      <c r="G48" s="26"/>
    </row>
    <row r="49" spans="1:7" ht="16.5" thickBot="1">
      <c r="A49" s="215" t="s">
        <v>53</v>
      </c>
      <c r="B49" s="232"/>
      <c r="C49" s="236"/>
      <c r="D49" s="227"/>
      <c r="E49" s="30"/>
      <c r="F49" s="27"/>
      <c r="G49" s="28"/>
    </row>
    <row r="50" spans="1:7" ht="15.75">
      <c r="A50" s="7">
        <v>725</v>
      </c>
      <c r="B50" s="251">
        <v>7875</v>
      </c>
      <c r="C50" s="226">
        <f>B50/40</f>
        <v>196.875</v>
      </c>
      <c r="D50" s="227"/>
      <c r="E50" s="30"/>
      <c r="F50" s="27"/>
      <c r="G50" s="28"/>
    </row>
    <row r="51" spans="1:7" ht="15.75">
      <c r="A51" s="7">
        <v>740</v>
      </c>
      <c r="B51" s="251">
        <v>7875</v>
      </c>
      <c r="C51" s="226">
        <f>B51/40</f>
        <v>196.875</v>
      </c>
      <c r="D51" s="227"/>
      <c r="E51" s="30"/>
      <c r="F51" s="27"/>
      <c r="G51" s="28"/>
    </row>
    <row r="52" spans="1:7">
      <c r="A52" s="7" t="s">
        <v>54</v>
      </c>
      <c r="B52" s="265">
        <v>8812.5</v>
      </c>
      <c r="C52" s="226">
        <f t="shared" ref="C52:C54" si="1">B52/40</f>
        <v>220.3125</v>
      </c>
      <c r="D52" s="227"/>
      <c r="E52" s="25"/>
      <c r="F52" s="25"/>
      <c r="G52" s="29"/>
    </row>
    <row r="53" spans="1:7">
      <c r="A53" s="7" t="s">
        <v>55</v>
      </c>
      <c r="B53" s="266">
        <v>17125</v>
      </c>
      <c r="C53" s="226">
        <f t="shared" si="1"/>
        <v>428.125</v>
      </c>
      <c r="D53" s="227"/>
      <c r="E53" s="25"/>
      <c r="F53" s="25"/>
      <c r="G53" s="29"/>
    </row>
    <row r="54" spans="1:7">
      <c r="A54" s="252" t="s">
        <v>56</v>
      </c>
      <c r="B54" s="266">
        <v>3628.61</v>
      </c>
      <c r="C54" s="226">
        <f t="shared" si="1"/>
        <v>90.715249999999997</v>
      </c>
      <c r="D54" s="227"/>
      <c r="E54" s="25"/>
      <c r="F54" s="26"/>
      <c r="G54" s="29"/>
    </row>
    <row r="55" spans="1:7">
      <c r="A55" s="4" t="s">
        <v>57</v>
      </c>
      <c r="B55" s="242">
        <v>6140.33</v>
      </c>
      <c r="C55" s="226">
        <f>B55/40</f>
        <v>153.50825</v>
      </c>
      <c r="D55" s="227"/>
      <c r="E55" s="25"/>
      <c r="F55" s="26"/>
      <c r="G55" s="29"/>
    </row>
    <row r="56" spans="1:7" ht="15.75" thickBot="1">
      <c r="A56" s="12" t="s">
        <v>58</v>
      </c>
      <c r="B56" s="243">
        <v>4770</v>
      </c>
      <c r="C56" s="226">
        <f>B56/40</f>
        <v>119.25</v>
      </c>
      <c r="D56" s="227"/>
      <c r="E56" s="25"/>
      <c r="F56" s="25"/>
      <c r="G56" s="33"/>
    </row>
    <row r="57" spans="1:7" ht="15.75" thickBot="1">
      <c r="A57" s="219" t="s">
        <v>59</v>
      </c>
      <c r="B57" s="253"/>
      <c r="C57" s="236"/>
      <c r="D57" s="227"/>
    </row>
    <row r="58" spans="1:7">
      <c r="A58" s="157" t="s">
        <v>60</v>
      </c>
      <c r="B58" s="254">
        <v>1430</v>
      </c>
      <c r="C58" s="226">
        <f>B58/40</f>
        <v>35.75</v>
      </c>
      <c r="D58" s="227"/>
    </row>
    <row r="59" spans="1:7">
      <c r="A59" s="125" t="s">
        <v>61</v>
      </c>
      <c r="B59" s="74"/>
      <c r="C59" s="226"/>
      <c r="D59" s="227"/>
    </row>
    <row r="60" spans="1:7">
      <c r="A60" s="126" t="s">
        <v>62</v>
      </c>
      <c r="B60" s="75"/>
      <c r="C60" s="226"/>
      <c r="D60" s="227"/>
    </row>
    <row r="61" spans="1:7">
      <c r="A61" s="126" t="s">
        <v>63</v>
      </c>
      <c r="B61" s="75"/>
      <c r="C61" s="226"/>
      <c r="D61" s="227"/>
    </row>
    <row r="62" spans="1:7" ht="15.75" thickBot="1">
      <c r="A62" s="12" t="s">
        <v>64</v>
      </c>
      <c r="B62" s="187"/>
      <c r="C62" s="233"/>
      <c r="D62" s="227"/>
    </row>
    <row r="64" spans="1:7">
      <c r="C64" s="227"/>
    </row>
  </sheetData>
  <sheetProtection algorithmName="SHA-512" hashValue="eNHsRCTUjRSNDVvsm78EZJuoy5Go+N7yMgSlYfzhJOZgsNeONwvWMDgLFBeflBKjB8G77kQT9Ee0k4Dzv4YPpg==" saltValue="/3uozS+8ypyy+ahjHOcR3g==" spinCount="100000" sheet="1" objects="1" scenarios="1"/>
  <protectedRanges>
    <protectedRange algorithmName="SHA-512" hashValue="5UXLwZ8nweOJp2fdwiM6Musdo0Q62uhTKkBlDcg438wz9lhX4BoAH/sklEVOyyH71EeGaVRCnXMAOA2u6d02hg==" saltValue="ptMKrr2ZrjgGMMs8knYXOA==" spinCount="100000" sqref="B59" name="EquipCost_2"/>
    <protectedRange algorithmName="SHA-512" hashValue="fdi0SdW9TphZZYBR5H1Dvwc/1Erv1U22zX/I2lqF3XT1yfFetCV7BtWU9SVqCj4Nlxx1P7yTyUO/4T8fSdkg/g==" saltValue="Q0m0xXNfq4twN85Z+3go9A==" spinCount="100000" sqref="E6" name="MaintenanceCost_1"/>
    <protectedRange algorithmName="SHA-512" hashValue="bfhNcRydTNew9RMil3BZThmbBPjn0Ra+iN4TjztRvaoidRemDTtPb6s3mBHDpskNu7lhzpjvT1bsgPjfJIhVaw==" saltValue="JCoLciljhYAQVmod6Hz5LQ==" spinCount="100000" sqref="F7:F12 F14:F15 F17:F20 F22:F23 F25:F29 F31:F33 F35 F52:F53 F56" name="GETConsuption"/>
    <protectedRange algorithmName="SHA-512" hashValue="GxbsEl+/3Iy5X0RqJcPR8/IQ3cmUqWY5/Yw0zaRbp3MmKx3Eg+4tkP/UBZmxGiRP/AL0/CTxDJtTK+S9No5mzA==" saltValue="B/QAmZF+QDXOJe49k4SpFQ==" spinCount="100000" sqref="G14:G15 G22:G23 G25:G29 G35 G52:G56" name="TireCosts"/>
    <protectedRange algorithmName="SHA-512" hashValue="qYq9glG7vpljbJFRcnintSnXsVVrmxq72Uc/0Xi+50AulYt9oLpbibwWgZZcqoM9ucRQNsoQLy/GgFxlh1xvYA==" saltValue="1elwJOhytcIDn06uU8IpCg==" spinCount="100000" sqref="B7:B12 B14:B15 B17:B20 B22:B23 B25:B29 B31:B33 B35:B48 B52:B56" name="EquipCost_1"/>
  </protectedRanges>
  <mergeCells count="1">
    <mergeCell ref="A4:C4"/>
  </mergeCells>
  <phoneticPr fontId="27" type="noConversion"/>
  <printOptions horizontalCentered="1" verticalCentered="1"/>
  <pageMargins left="0.7" right="0.7" top="0.75" bottom="0.75" header="0.3" footer="0.3"/>
  <pageSetup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S62"/>
  <sheetViews>
    <sheetView view="pageBreakPreview" zoomScaleNormal="100" zoomScaleSheetLayoutView="100" workbookViewId="0">
      <selection activeCell="A4" sqref="A4:E4"/>
    </sheetView>
  </sheetViews>
  <sheetFormatPr defaultRowHeight="15"/>
  <cols>
    <col min="1" max="1" width="35.140625" style="56" customWidth="1"/>
    <col min="2" max="2" width="22.7109375" style="56" customWidth="1"/>
    <col min="3" max="3" width="13.42578125" customWidth="1"/>
    <col min="4" max="4" width="13.5703125" style="18" customWidth="1"/>
    <col min="5" max="5" width="16.42578125" style="18" customWidth="1"/>
    <col min="18" max="18" width="13.85546875" customWidth="1"/>
  </cols>
  <sheetData>
    <row r="1" spans="1:19">
      <c r="S1" s="16"/>
    </row>
    <row r="3" spans="1:19" ht="15.75" thickBot="1"/>
    <row r="4" spans="1:19">
      <c r="A4" s="285" t="s">
        <v>155</v>
      </c>
      <c r="B4" s="286"/>
      <c r="C4" s="286"/>
      <c r="D4" s="286"/>
      <c r="E4" s="287"/>
    </row>
    <row r="5" spans="1:19" ht="52.5" thickBot="1">
      <c r="A5" s="188" t="s">
        <v>2</v>
      </c>
      <c r="B5" s="77" t="s">
        <v>95</v>
      </c>
      <c r="C5" s="77" t="s">
        <v>84</v>
      </c>
      <c r="D5" s="78" t="s">
        <v>85</v>
      </c>
      <c r="E5" s="79" t="s">
        <v>86</v>
      </c>
    </row>
    <row r="6" spans="1:19" ht="16.5" thickBot="1">
      <c r="A6" s="189" t="s">
        <v>11</v>
      </c>
      <c r="B6" s="65"/>
      <c r="C6" s="66"/>
      <c r="D6" s="67"/>
      <c r="E6" s="80"/>
      <c r="H6" s="288"/>
    </row>
    <row r="7" spans="1:19">
      <c r="A7" s="43" t="s">
        <v>12</v>
      </c>
      <c r="B7" s="34">
        <v>23</v>
      </c>
      <c r="C7" s="81" t="s">
        <v>136</v>
      </c>
      <c r="D7" s="18">
        <v>514.05999999999995</v>
      </c>
      <c r="E7" s="82">
        <f t="shared" ref="E7:E29" si="0">D7/8</f>
        <v>64.257499999999993</v>
      </c>
      <c r="H7" s="288"/>
    </row>
    <row r="8" spans="1:19">
      <c r="A8" s="44" t="s">
        <v>13</v>
      </c>
      <c r="B8" s="34">
        <v>30</v>
      </c>
      <c r="C8" s="81" t="s">
        <v>91</v>
      </c>
      <c r="D8" s="18">
        <v>789.1</v>
      </c>
      <c r="E8" s="82">
        <f>D8/8</f>
        <v>98.637500000000003</v>
      </c>
      <c r="H8" s="288"/>
    </row>
    <row r="9" spans="1:19">
      <c r="A9" s="44" t="s">
        <v>14</v>
      </c>
      <c r="B9" s="34">
        <v>42</v>
      </c>
      <c r="C9" s="81" t="s">
        <v>92</v>
      </c>
      <c r="D9" s="18">
        <v>994.93999999999994</v>
      </c>
      <c r="E9" s="82">
        <f t="shared" si="0"/>
        <v>124.36749999999999</v>
      </c>
      <c r="H9" s="288"/>
    </row>
    <row r="10" spans="1:19">
      <c r="A10" s="44" t="s">
        <v>15</v>
      </c>
      <c r="B10" s="34">
        <v>55</v>
      </c>
      <c r="C10" s="81" t="s">
        <v>92</v>
      </c>
      <c r="D10" s="18">
        <f>$D$9</f>
        <v>994.93999999999994</v>
      </c>
      <c r="E10" s="82">
        <f t="shared" si="0"/>
        <v>124.36749999999999</v>
      </c>
    </row>
    <row r="11" spans="1:19">
      <c r="A11" s="44" t="s">
        <v>16</v>
      </c>
      <c r="B11" s="34">
        <v>73</v>
      </c>
      <c r="C11" s="81" t="s">
        <v>92</v>
      </c>
      <c r="D11" s="18">
        <f t="shared" ref="D11:D12" si="1">$D$9</f>
        <v>994.93999999999994</v>
      </c>
      <c r="E11" s="82">
        <f t="shared" si="0"/>
        <v>124.36749999999999</v>
      </c>
    </row>
    <row r="12" spans="1:19" ht="15.75" thickBot="1">
      <c r="A12" s="190" t="s">
        <v>17</v>
      </c>
      <c r="B12" s="34">
        <v>124</v>
      </c>
      <c r="C12" s="81" t="s">
        <v>92</v>
      </c>
      <c r="D12" s="18">
        <f t="shared" si="1"/>
        <v>994.93999999999994</v>
      </c>
      <c r="E12" s="82">
        <f t="shared" si="0"/>
        <v>124.36749999999999</v>
      </c>
    </row>
    <row r="13" spans="1:19" ht="16.5" thickBot="1">
      <c r="A13" s="55" t="s">
        <v>18</v>
      </c>
      <c r="B13" s="65"/>
      <c r="C13" s="68"/>
      <c r="D13" s="67"/>
      <c r="E13" s="80"/>
    </row>
    <row r="14" spans="1:19">
      <c r="A14" s="48" t="s">
        <v>19</v>
      </c>
      <c r="B14" s="34">
        <v>21</v>
      </c>
      <c r="C14" s="81" t="s">
        <v>136</v>
      </c>
      <c r="D14" s="18">
        <f>$D$7</f>
        <v>514.05999999999995</v>
      </c>
      <c r="E14" s="82">
        <f t="shared" si="0"/>
        <v>64.257499999999993</v>
      </c>
    </row>
    <row r="15" spans="1:19" ht="15.75" thickBot="1">
      <c r="A15" s="191" t="s">
        <v>20</v>
      </c>
      <c r="B15" s="34">
        <v>27</v>
      </c>
      <c r="C15" s="81" t="s">
        <v>91</v>
      </c>
      <c r="D15" s="18">
        <f>$D$8</f>
        <v>789.1</v>
      </c>
      <c r="E15" s="82">
        <f t="shared" si="0"/>
        <v>98.637500000000003</v>
      </c>
    </row>
    <row r="16" spans="1:19" ht="16.5" thickBot="1">
      <c r="A16" s="55" t="s">
        <v>21</v>
      </c>
      <c r="B16" s="65"/>
      <c r="C16" s="68"/>
      <c r="D16" s="67"/>
      <c r="E16" s="80"/>
    </row>
    <row r="17" spans="1:5">
      <c r="A17" s="43" t="s">
        <v>22</v>
      </c>
      <c r="B17" s="34">
        <v>25</v>
      </c>
      <c r="C17" s="81" t="s">
        <v>91</v>
      </c>
      <c r="D17" s="18">
        <f t="shared" ref="D17:D18" si="2">$D$8</f>
        <v>789.1</v>
      </c>
      <c r="E17" s="82">
        <f t="shared" si="0"/>
        <v>98.637500000000003</v>
      </c>
    </row>
    <row r="18" spans="1:5">
      <c r="A18" s="44" t="s">
        <v>23</v>
      </c>
      <c r="B18" s="34">
        <v>32</v>
      </c>
      <c r="C18" s="81" t="s">
        <v>91</v>
      </c>
      <c r="D18" s="18">
        <f t="shared" si="2"/>
        <v>789.1</v>
      </c>
      <c r="E18" s="82">
        <f t="shared" si="0"/>
        <v>98.637500000000003</v>
      </c>
    </row>
    <row r="19" spans="1:5">
      <c r="A19" s="49" t="s">
        <v>24</v>
      </c>
      <c r="B19" s="34">
        <v>54</v>
      </c>
      <c r="C19" s="81" t="s">
        <v>92</v>
      </c>
      <c r="D19" s="18">
        <f t="shared" ref="D19:D23" si="3">$D$9</f>
        <v>994.93999999999994</v>
      </c>
      <c r="E19" s="82">
        <f t="shared" si="0"/>
        <v>124.36749999999999</v>
      </c>
    </row>
    <row r="20" spans="1:5" ht="15.75" thickBot="1">
      <c r="A20" s="191" t="s">
        <v>25</v>
      </c>
      <c r="B20" s="34">
        <v>98</v>
      </c>
      <c r="C20" s="81" t="s">
        <v>92</v>
      </c>
      <c r="D20" s="18">
        <f t="shared" si="3"/>
        <v>994.93999999999994</v>
      </c>
      <c r="E20" s="82">
        <f t="shared" si="0"/>
        <v>124.36749999999999</v>
      </c>
    </row>
    <row r="21" spans="1:5" ht="16.5" thickBot="1">
      <c r="A21" s="55" t="s">
        <v>26</v>
      </c>
      <c r="B21" s="65"/>
      <c r="C21" s="68"/>
      <c r="D21" s="67"/>
      <c r="E21" s="80"/>
    </row>
    <row r="22" spans="1:5">
      <c r="A22" s="49" t="s">
        <v>27</v>
      </c>
      <c r="B22" s="34">
        <v>51</v>
      </c>
      <c r="C22" s="81" t="s">
        <v>92</v>
      </c>
      <c r="D22" s="18">
        <f t="shared" si="3"/>
        <v>994.93999999999994</v>
      </c>
      <c r="E22" s="82">
        <f t="shared" si="0"/>
        <v>124.36749999999999</v>
      </c>
    </row>
    <row r="23" spans="1:5" ht="15.75" thickBot="1">
      <c r="A23" s="50" t="s">
        <v>28</v>
      </c>
      <c r="B23" s="34">
        <v>57</v>
      </c>
      <c r="C23" s="81" t="s">
        <v>92</v>
      </c>
      <c r="D23" s="18">
        <f t="shared" si="3"/>
        <v>994.93999999999994</v>
      </c>
      <c r="E23" s="82">
        <f t="shared" si="0"/>
        <v>124.36749999999999</v>
      </c>
    </row>
    <row r="24" spans="1:5" ht="16.5" thickBot="1">
      <c r="A24" s="55" t="s">
        <v>29</v>
      </c>
      <c r="B24" s="65"/>
      <c r="C24" s="68"/>
      <c r="D24" s="67"/>
      <c r="E24" s="80"/>
    </row>
    <row r="25" spans="1:5">
      <c r="A25" s="49" t="s">
        <v>30</v>
      </c>
      <c r="B25" s="34">
        <v>13</v>
      </c>
      <c r="C25" s="81" t="s">
        <v>136</v>
      </c>
      <c r="D25" s="18">
        <f t="shared" ref="D25:D26" si="4">$D$7</f>
        <v>514.05999999999995</v>
      </c>
      <c r="E25" s="82">
        <f t="shared" si="0"/>
        <v>64.257499999999993</v>
      </c>
    </row>
    <row r="26" spans="1:5">
      <c r="A26" s="59" t="s">
        <v>31</v>
      </c>
      <c r="B26" s="34">
        <v>25</v>
      </c>
      <c r="C26" s="81" t="s">
        <v>136</v>
      </c>
      <c r="D26" s="18">
        <f t="shared" si="4"/>
        <v>514.05999999999995</v>
      </c>
      <c r="E26" s="82">
        <f t="shared" si="0"/>
        <v>64.257499999999993</v>
      </c>
    </row>
    <row r="27" spans="1:5">
      <c r="A27" s="59" t="s">
        <v>32</v>
      </c>
      <c r="B27" s="34">
        <v>28</v>
      </c>
      <c r="C27" s="81" t="s">
        <v>91</v>
      </c>
      <c r="D27" s="18">
        <f t="shared" ref="D27:D28" si="5">$D$15</f>
        <v>789.1</v>
      </c>
      <c r="E27" s="82">
        <f t="shared" si="0"/>
        <v>98.637500000000003</v>
      </c>
    </row>
    <row r="28" spans="1:5">
      <c r="A28" s="49" t="s">
        <v>33</v>
      </c>
      <c r="B28" s="34">
        <v>56</v>
      </c>
      <c r="C28" s="81" t="s">
        <v>91</v>
      </c>
      <c r="D28" s="18">
        <f t="shared" si="5"/>
        <v>789.1</v>
      </c>
      <c r="E28" s="82">
        <f t="shared" si="0"/>
        <v>98.637500000000003</v>
      </c>
    </row>
    <row r="29" spans="1:5" ht="15.75" thickBot="1">
      <c r="A29" s="190" t="s">
        <v>34</v>
      </c>
      <c r="B29" s="34">
        <v>110</v>
      </c>
      <c r="C29" s="81" t="s">
        <v>92</v>
      </c>
      <c r="D29" s="18">
        <f t="shared" ref="D29" si="6">$D$9</f>
        <v>994.93999999999994</v>
      </c>
      <c r="E29" s="82">
        <f t="shared" si="0"/>
        <v>124.36749999999999</v>
      </c>
    </row>
    <row r="30" spans="1:5" ht="16.5" thickBot="1">
      <c r="A30" s="55" t="s">
        <v>132</v>
      </c>
      <c r="B30" s="65"/>
      <c r="C30" s="68"/>
      <c r="D30" s="67"/>
      <c r="E30" s="80"/>
    </row>
    <row r="31" spans="1:5" ht="26.25">
      <c r="A31" s="49" t="s">
        <v>35</v>
      </c>
      <c r="B31" s="34" t="s">
        <v>87</v>
      </c>
      <c r="C31" s="81"/>
      <c r="E31" s="82">
        <f t="shared" ref="E31:E33" si="7">D31/8</f>
        <v>0</v>
      </c>
    </row>
    <row r="32" spans="1:5" ht="26.25">
      <c r="A32" s="59" t="s">
        <v>36</v>
      </c>
      <c r="B32" s="34" t="s">
        <v>87</v>
      </c>
      <c r="C32" s="81"/>
      <c r="E32" s="82">
        <f t="shared" si="7"/>
        <v>0</v>
      </c>
    </row>
    <row r="33" spans="1:5" ht="27" thickBot="1">
      <c r="A33" s="60" t="s">
        <v>37</v>
      </c>
      <c r="B33" s="34" t="s">
        <v>87</v>
      </c>
      <c r="C33" s="81"/>
      <c r="E33" s="82">
        <f t="shared" si="7"/>
        <v>0</v>
      </c>
    </row>
    <row r="34" spans="1:5" ht="16.5" thickBot="1">
      <c r="A34" s="55" t="s">
        <v>38</v>
      </c>
      <c r="B34" s="65"/>
      <c r="C34" s="68"/>
      <c r="D34" s="67"/>
      <c r="E34" s="80"/>
    </row>
    <row r="35" spans="1:5">
      <c r="A35" s="69" t="s">
        <v>39</v>
      </c>
      <c r="B35" s="34">
        <v>8</v>
      </c>
      <c r="C35" s="81" t="s">
        <v>136</v>
      </c>
      <c r="D35" s="18">
        <f t="shared" ref="D35:D36" si="8">$D$7</f>
        <v>514.05999999999995</v>
      </c>
      <c r="E35" s="82">
        <f t="shared" ref="E35:E48" si="9">D35/8</f>
        <v>64.257499999999993</v>
      </c>
    </row>
    <row r="36" spans="1:5">
      <c r="A36" s="61" t="s">
        <v>40</v>
      </c>
      <c r="B36" s="34">
        <v>12</v>
      </c>
      <c r="C36" s="81" t="s">
        <v>136</v>
      </c>
      <c r="D36" s="18">
        <f t="shared" si="8"/>
        <v>514.05999999999995</v>
      </c>
      <c r="E36" s="82">
        <f t="shared" si="9"/>
        <v>64.257499999999993</v>
      </c>
    </row>
    <row r="37" spans="1:5" ht="26.25">
      <c r="A37" s="48" t="s">
        <v>41</v>
      </c>
      <c r="B37" s="34" t="s">
        <v>88</v>
      </c>
      <c r="C37" s="81"/>
      <c r="E37" s="82">
        <f t="shared" si="9"/>
        <v>0</v>
      </c>
    </row>
    <row r="38" spans="1:5" ht="26.25">
      <c r="A38" s="52" t="s">
        <v>42</v>
      </c>
      <c r="B38" s="34" t="s">
        <v>88</v>
      </c>
      <c r="C38" s="81"/>
      <c r="E38" s="82">
        <f t="shared" si="9"/>
        <v>0</v>
      </c>
    </row>
    <row r="39" spans="1:5">
      <c r="A39" s="52" t="s">
        <v>43</v>
      </c>
      <c r="B39" s="34" t="s">
        <v>89</v>
      </c>
      <c r="C39" s="81" t="s">
        <v>93</v>
      </c>
      <c r="D39" s="18">
        <v>392.94</v>
      </c>
      <c r="E39" s="82">
        <f t="shared" si="9"/>
        <v>49.1175</v>
      </c>
    </row>
    <row r="40" spans="1:5">
      <c r="A40" s="52" t="s">
        <v>44</v>
      </c>
      <c r="B40" s="34" t="s">
        <v>89</v>
      </c>
      <c r="C40" s="81" t="s">
        <v>93</v>
      </c>
      <c r="D40" s="18">
        <f>$D$39</f>
        <v>392.94</v>
      </c>
      <c r="E40" s="82">
        <f t="shared" si="9"/>
        <v>49.1175</v>
      </c>
    </row>
    <row r="41" spans="1:5" ht="26.25">
      <c r="A41" s="49" t="s">
        <v>45</v>
      </c>
      <c r="B41" s="34" t="s">
        <v>88</v>
      </c>
      <c r="C41" s="81"/>
      <c r="E41" s="82">
        <f t="shared" si="9"/>
        <v>0</v>
      </c>
    </row>
    <row r="42" spans="1:5" ht="26.25">
      <c r="A42" s="44" t="s">
        <v>46</v>
      </c>
      <c r="B42" s="34" t="s">
        <v>88</v>
      </c>
      <c r="C42" s="81"/>
      <c r="E42" s="82">
        <f t="shared" si="9"/>
        <v>0</v>
      </c>
    </row>
    <row r="43" spans="1:5">
      <c r="A43" s="45" t="s">
        <v>47</v>
      </c>
      <c r="B43" s="34" t="s">
        <v>89</v>
      </c>
      <c r="C43" s="81" t="s">
        <v>93</v>
      </c>
      <c r="D43" s="18">
        <f t="shared" ref="D43:D46" si="10">$D$39</f>
        <v>392.94</v>
      </c>
      <c r="E43" s="82">
        <f t="shared" si="9"/>
        <v>49.1175</v>
      </c>
    </row>
    <row r="44" spans="1:5">
      <c r="A44" s="44" t="s">
        <v>48</v>
      </c>
      <c r="B44" s="34" t="s">
        <v>89</v>
      </c>
      <c r="C44" s="81" t="s">
        <v>93</v>
      </c>
      <c r="D44" s="18">
        <f t="shared" si="10"/>
        <v>392.94</v>
      </c>
      <c r="E44" s="82">
        <f t="shared" si="9"/>
        <v>49.1175</v>
      </c>
    </row>
    <row r="45" spans="1:5">
      <c r="A45" s="45" t="s">
        <v>49</v>
      </c>
      <c r="B45" s="34" t="s">
        <v>89</v>
      </c>
      <c r="C45" s="81" t="s">
        <v>93</v>
      </c>
      <c r="D45" s="18">
        <f t="shared" si="10"/>
        <v>392.94</v>
      </c>
      <c r="E45" s="82">
        <f t="shared" si="9"/>
        <v>49.1175</v>
      </c>
    </row>
    <row r="46" spans="1:5">
      <c r="A46" s="45" t="s">
        <v>50</v>
      </c>
      <c r="B46" s="34" t="s">
        <v>89</v>
      </c>
      <c r="C46" s="81" t="s">
        <v>93</v>
      </c>
      <c r="D46" s="18">
        <f t="shared" si="10"/>
        <v>392.94</v>
      </c>
      <c r="E46" s="82">
        <f t="shared" si="9"/>
        <v>49.1175</v>
      </c>
    </row>
    <row r="47" spans="1:5" ht="26.25">
      <c r="A47" s="45" t="s">
        <v>51</v>
      </c>
      <c r="B47" s="35" t="s">
        <v>90</v>
      </c>
      <c r="C47" s="211" t="s">
        <v>129</v>
      </c>
      <c r="D47" s="18">
        <v>386.8</v>
      </c>
      <c r="E47" s="82">
        <f t="shared" si="9"/>
        <v>48.35</v>
      </c>
    </row>
    <row r="48" spans="1:5" ht="27" thickBot="1">
      <c r="A48" s="190" t="s">
        <v>52</v>
      </c>
      <c r="B48" s="35" t="s">
        <v>90</v>
      </c>
      <c r="C48" s="211" t="s">
        <v>130</v>
      </c>
      <c r="D48" s="18">
        <v>2258</v>
      </c>
      <c r="E48" s="82">
        <f t="shared" si="9"/>
        <v>282.25</v>
      </c>
    </row>
    <row r="49" spans="1:5" ht="16.5" thickBot="1">
      <c r="A49" s="55" t="s">
        <v>53</v>
      </c>
      <c r="B49" s="65"/>
      <c r="C49" s="68"/>
      <c r="D49" s="67"/>
      <c r="E49" s="80"/>
    </row>
    <row r="50" spans="1:5">
      <c r="A50" s="48">
        <v>725</v>
      </c>
      <c r="B50" s="34">
        <v>25</v>
      </c>
      <c r="C50" s="81" t="s">
        <v>136</v>
      </c>
      <c r="D50" s="18">
        <f>$D$7</f>
        <v>514.05999999999995</v>
      </c>
      <c r="E50" s="82">
        <f>D50/8</f>
        <v>64.257499999999993</v>
      </c>
    </row>
    <row r="51" spans="1:5">
      <c r="A51" s="48">
        <v>740</v>
      </c>
      <c r="B51" s="34">
        <v>36</v>
      </c>
      <c r="C51" s="81" t="s">
        <v>91</v>
      </c>
      <c r="D51" s="18">
        <f t="shared" ref="D51:D52" si="11">$D$8</f>
        <v>789.1</v>
      </c>
      <c r="E51" s="82">
        <f>D51/8</f>
        <v>98.637500000000003</v>
      </c>
    </row>
    <row r="52" spans="1:5">
      <c r="A52" s="48" t="s">
        <v>54</v>
      </c>
      <c r="B52" s="34">
        <v>39</v>
      </c>
      <c r="C52" s="81" t="s">
        <v>91</v>
      </c>
      <c r="D52" s="18">
        <f t="shared" si="11"/>
        <v>789.1</v>
      </c>
      <c r="E52" s="82">
        <f>D52/8</f>
        <v>98.637500000000003</v>
      </c>
    </row>
    <row r="53" spans="1:5">
      <c r="A53" s="48" t="s">
        <v>55</v>
      </c>
      <c r="B53" s="34">
        <v>80</v>
      </c>
      <c r="C53" s="81" t="s">
        <v>92</v>
      </c>
      <c r="D53" s="18">
        <f t="shared" ref="D53:D55" si="12">$D$9</f>
        <v>994.93999999999994</v>
      </c>
      <c r="E53" s="82">
        <f t="shared" ref="E53:E62" si="13">D53/8</f>
        <v>124.36749999999999</v>
      </c>
    </row>
    <row r="54" spans="1:5">
      <c r="A54" s="44" t="s">
        <v>56</v>
      </c>
      <c r="B54" s="34">
        <v>16</v>
      </c>
      <c r="C54" s="81" t="s">
        <v>92</v>
      </c>
      <c r="D54" s="18">
        <f t="shared" si="12"/>
        <v>994.93999999999994</v>
      </c>
      <c r="E54" s="82">
        <f t="shared" si="13"/>
        <v>124.36749999999999</v>
      </c>
    </row>
    <row r="55" spans="1:5">
      <c r="A55" s="44" t="s">
        <v>57</v>
      </c>
      <c r="B55" s="34">
        <v>40</v>
      </c>
      <c r="C55" s="81" t="s">
        <v>92</v>
      </c>
      <c r="D55" s="18">
        <f t="shared" si="12"/>
        <v>994.93999999999994</v>
      </c>
      <c r="E55" s="82">
        <f t="shared" si="13"/>
        <v>124.36749999999999</v>
      </c>
    </row>
    <row r="56" spans="1:5" ht="27" thickBot="1">
      <c r="A56" s="53" t="s">
        <v>58</v>
      </c>
      <c r="B56" s="34" t="s">
        <v>88</v>
      </c>
      <c r="C56" s="83"/>
      <c r="E56" s="82">
        <f t="shared" si="13"/>
        <v>0</v>
      </c>
    </row>
    <row r="57" spans="1:5" ht="15.75" thickBot="1">
      <c r="A57" s="192" t="s">
        <v>59</v>
      </c>
      <c r="B57" s="62"/>
      <c r="C57" s="70"/>
      <c r="D57" s="67"/>
      <c r="E57" s="80"/>
    </row>
    <row r="58" spans="1:5" ht="26.25">
      <c r="A58" s="84" t="s">
        <v>60</v>
      </c>
      <c r="B58" s="34">
        <v>8</v>
      </c>
      <c r="C58" s="81" t="s">
        <v>136</v>
      </c>
      <c r="D58" s="18">
        <f>$D$7</f>
        <v>514.05999999999995</v>
      </c>
      <c r="E58" s="82">
        <f t="shared" si="13"/>
        <v>64.257499999999993</v>
      </c>
    </row>
    <row r="59" spans="1:5" ht="26.25">
      <c r="A59" s="85" t="s">
        <v>61</v>
      </c>
      <c r="B59" s="35" t="s">
        <v>90</v>
      </c>
      <c r="C59" s="81" t="s">
        <v>94</v>
      </c>
      <c r="D59" s="18">
        <v>235.9</v>
      </c>
      <c r="E59" s="82">
        <f t="shared" si="13"/>
        <v>29.487500000000001</v>
      </c>
    </row>
    <row r="60" spans="1:5" ht="26.25">
      <c r="A60" s="86" t="s">
        <v>62</v>
      </c>
      <c r="B60" s="35" t="s">
        <v>90</v>
      </c>
      <c r="C60" s="81" t="s">
        <v>92</v>
      </c>
      <c r="D60" s="18">
        <f t="shared" ref="D60" si="14">$D$9</f>
        <v>994.93999999999994</v>
      </c>
      <c r="E60" s="82">
        <f t="shared" si="13"/>
        <v>124.36749999999999</v>
      </c>
    </row>
    <row r="61" spans="1:5" ht="26.25">
      <c r="A61" s="86" t="s">
        <v>63</v>
      </c>
      <c r="B61" s="35" t="s">
        <v>90</v>
      </c>
      <c r="C61" s="81" t="s">
        <v>91</v>
      </c>
      <c r="D61" s="18">
        <f>$D$15</f>
        <v>789.1</v>
      </c>
      <c r="E61" s="82">
        <f t="shared" si="13"/>
        <v>98.637500000000003</v>
      </c>
    </row>
    <row r="62" spans="1:5" ht="27" thickBot="1">
      <c r="A62" s="53" t="s">
        <v>64</v>
      </c>
      <c r="B62" s="87" t="s">
        <v>90</v>
      </c>
      <c r="C62" s="88" t="s">
        <v>93</v>
      </c>
      <c r="D62" s="18">
        <f>$D$39</f>
        <v>392.94</v>
      </c>
      <c r="E62" s="89">
        <f t="shared" si="13"/>
        <v>49.1175</v>
      </c>
    </row>
  </sheetData>
  <sheetProtection algorithmName="SHA-512" hashValue="IPQKSSH6fC6OF7eXA1KnDilfde9i5RoGlOOH+xJ4BicOFjpVEAEpIN+cIWFeUrGlEpOGtFLou/J2FtJ6EJVSpQ==" saltValue="rEDGx8BkpJs9sKS9Mv65jA==" spinCount="100000" sheet="1" objects="1" scenarios="1"/>
  <mergeCells count="2">
    <mergeCell ref="A4:E4"/>
    <mergeCell ref="H6:H9"/>
  </mergeCells>
  <phoneticPr fontId="27" type="noConversion"/>
  <printOptions horizontalCentered="1"/>
  <pageMargins left="0.7" right="0.7" top="0.75" bottom="0.75" header="0.3" footer="0.3"/>
  <pageSetup scale="6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S64"/>
  <sheetViews>
    <sheetView view="pageBreakPreview" zoomScale="110" zoomScaleNormal="100" zoomScaleSheetLayoutView="110" workbookViewId="0">
      <selection activeCell="A3" sqref="A3:K3"/>
    </sheetView>
  </sheetViews>
  <sheetFormatPr defaultColWidth="9.140625" defaultRowHeight="14.25"/>
  <cols>
    <col min="1" max="1" width="31.5703125" style="42" customWidth="1"/>
    <col min="2" max="2" width="15.28515625" style="42" customWidth="1"/>
    <col min="3" max="3" width="15.28515625" style="41" customWidth="1"/>
    <col min="4" max="4" width="13.5703125" style="39" customWidth="1"/>
    <col min="5" max="11" width="9.140625" style="40"/>
    <col min="12" max="17" width="9.140625" style="19"/>
    <col min="18" max="18" width="13.140625" style="19" customWidth="1"/>
    <col min="19" max="16384" width="9.140625" style="19"/>
  </cols>
  <sheetData>
    <row r="1" spans="1:19" ht="15">
      <c r="A1" s="90"/>
      <c r="B1" s="91"/>
      <c r="C1" s="92"/>
      <c r="D1" s="93"/>
      <c r="E1" s="94"/>
      <c r="F1" s="94"/>
      <c r="G1" s="94"/>
      <c r="H1" s="94"/>
      <c r="I1" s="94"/>
      <c r="J1" s="94"/>
      <c r="K1" s="95"/>
      <c r="R1" t="s">
        <v>127</v>
      </c>
      <c r="S1" s="16" t="s">
        <v>73</v>
      </c>
    </row>
    <row r="2" spans="1:19">
      <c r="A2" s="96"/>
      <c r="K2" s="97"/>
    </row>
    <row r="3" spans="1:19">
      <c r="A3" s="289" t="s">
        <v>147</v>
      </c>
      <c r="B3" s="290"/>
      <c r="C3" s="290"/>
      <c r="D3" s="290"/>
      <c r="E3" s="290"/>
      <c r="F3" s="290"/>
      <c r="G3" s="290"/>
      <c r="H3" s="290"/>
      <c r="I3" s="290"/>
      <c r="J3" s="290"/>
      <c r="K3" s="291"/>
    </row>
    <row r="4" spans="1:19" ht="51">
      <c r="A4" s="297" t="s">
        <v>96</v>
      </c>
      <c r="B4" s="292" t="s">
        <v>97</v>
      </c>
      <c r="C4" s="292" t="s">
        <v>98</v>
      </c>
      <c r="D4" s="292" t="s">
        <v>144</v>
      </c>
      <c r="E4" s="294" t="s">
        <v>99</v>
      </c>
      <c r="F4" s="294" t="s">
        <v>100</v>
      </c>
      <c r="G4" s="294" t="s">
        <v>101</v>
      </c>
      <c r="H4" s="57" t="s">
        <v>102</v>
      </c>
      <c r="I4" s="58" t="s">
        <v>103</v>
      </c>
      <c r="J4" s="58" t="s">
        <v>104</v>
      </c>
      <c r="K4" s="295" t="s">
        <v>105</v>
      </c>
    </row>
    <row r="5" spans="1:19" ht="15" thickBot="1">
      <c r="A5" s="298"/>
      <c r="B5" s="293"/>
      <c r="C5" s="293"/>
      <c r="D5" s="293"/>
      <c r="E5" s="294"/>
      <c r="F5" s="294"/>
      <c r="G5" s="294"/>
      <c r="H5" s="105">
        <v>0.03</v>
      </c>
      <c r="I5" s="212">
        <v>7.6499999999999999E-2</v>
      </c>
      <c r="J5" s="212">
        <v>0.14499999999999999</v>
      </c>
      <c r="K5" s="296"/>
    </row>
    <row r="6" spans="1:19" ht="15" thickBot="1">
      <c r="A6" s="98" t="s">
        <v>11</v>
      </c>
      <c r="B6" s="65"/>
      <c r="C6" s="63"/>
      <c r="D6" s="193"/>
      <c r="E6" s="64"/>
      <c r="F6" s="64"/>
      <c r="G6" s="64"/>
      <c r="H6" s="64"/>
      <c r="I6" s="64"/>
      <c r="J6" s="64"/>
      <c r="K6" s="100"/>
    </row>
    <row r="7" spans="1:19">
      <c r="A7" s="43" t="s">
        <v>12</v>
      </c>
      <c r="B7" s="34">
        <v>23</v>
      </c>
      <c r="C7" s="196" t="s">
        <v>135</v>
      </c>
      <c r="D7" s="198">
        <v>31.5</v>
      </c>
      <c r="E7" s="38">
        <v>0</v>
      </c>
      <c r="F7" s="39">
        <v>4.16</v>
      </c>
      <c r="G7" s="39">
        <f t="shared" ref="G7:G12" si="0">D7+E7+F7</f>
        <v>35.659999999999997</v>
      </c>
      <c r="H7" s="39">
        <f t="shared" ref="H7:H12" si="1">H$5*G7</f>
        <v>1.0697999999999999</v>
      </c>
      <c r="I7" s="39">
        <f t="shared" ref="I7:I12" si="2">I$5*G7</f>
        <v>2.7279899999999997</v>
      </c>
      <c r="J7" s="39">
        <f t="shared" ref="J7:J12" si="3">$J$5*G7</f>
        <v>5.1706999999999992</v>
      </c>
      <c r="K7" s="99">
        <f>G7+H7+I7+J7</f>
        <v>44.628489999999992</v>
      </c>
    </row>
    <row r="8" spans="1:19">
      <c r="A8" s="44" t="s">
        <v>13</v>
      </c>
      <c r="B8" s="34">
        <v>30</v>
      </c>
      <c r="C8" s="41" t="str">
        <f>IF(ISBLANK($C$7),"",$C$7)</f>
        <v>Truck Driver Dump</v>
      </c>
      <c r="D8" s="198">
        <f>$D$7</f>
        <v>31.5</v>
      </c>
      <c r="E8" s="38">
        <f>IF('Mob Demob'!$J$2&lt;51,0,(IF('Mob Demob'!$J$2&lt;151,2,(IF('Mob Demob'!$J$2&lt;301,3,4)))))</f>
        <v>0</v>
      </c>
      <c r="F8" s="39">
        <f>$F$7</f>
        <v>4.16</v>
      </c>
      <c r="G8" s="39">
        <f t="shared" si="0"/>
        <v>35.659999999999997</v>
      </c>
      <c r="H8" s="39">
        <f t="shared" si="1"/>
        <v>1.0697999999999999</v>
      </c>
      <c r="I8" s="39">
        <f t="shared" si="2"/>
        <v>2.7279899999999997</v>
      </c>
      <c r="J8" s="39">
        <f t="shared" si="3"/>
        <v>5.1706999999999992</v>
      </c>
      <c r="K8" s="99">
        <f t="shared" ref="K8:K56" si="4">G8+H8+I8+J8</f>
        <v>44.628489999999992</v>
      </c>
    </row>
    <row r="9" spans="1:19">
      <c r="A9" s="44" t="s">
        <v>14</v>
      </c>
      <c r="B9" s="34">
        <v>42</v>
      </c>
      <c r="C9" s="41" t="str">
        <f t="shared" ref="C9:C12" si="5">IF(ISBLANK($C$7),"",$C$7)</f>
        <v>Truck Driver Dump</v>
      </c>
      <c r="D9" s="198">
        <f t="shared" ref="D9:D12" si="6">$D$7</f>
        <v>31.5</v>
      </c>
      <c r="E9" s="38">
        <f>IF('Mob Demob'!$J$2&lt;51,0,(IF('Mob Demob'!$J$2&lt;151,2,(IF('Mob Demob'!$J$2&lt;301,3,4)))))</f>
        <v>0</v>
      </c>
      <c r="F9" s="39">
        <f t="shared" ref="F9:F36" si="7">$F$7</f>
        <v>4.16</v>
      </c>
      <c r="G9" s="39">
        <f t="shared" si="0"/>
        <v>35.659999999999997</v>
      </c>
      <c r="H9" s="39">
        <f t="shared" si="1"/>
        <v>1.0697999999999999</v>
      </c>
      <c r="I9" s="39">
        <f t="shared" si="2"/>
        <v>2.7279899999999997</v>
      </c>
      <c r="J9" s="39">
        <f t="shared" si="3"/>
        <v>5.1706999999999992</v>
      </c>
      <c r="K9" s="99">
        <f t="shared" si="4"/>
        <v>44.628489999999992</v>
      </c>
    </row>
    <row r="10" spans="1:19">
      <c r="A10" s="44" t="s">
        <v>15</v>
      </c>
      <c r="B10" s="34">
        <v>55</v>
      </c>
      <c r="C10" s="41" t="str">
        <f t="shared" si="5"/>
        <v>Truck Driver Dump</v>
      </c>
      <c r="D10" s="198">
        <f t="shared" si="6"/>
        <v>31.5</v>
      </c>
      <c r="E10" s="38">
        <f>IF('Mob Demob'!$J$2&lt;51,0,(IF('Mob Demob'!$J$2&lt;151,2,(IF('Mob Demob'!$J$2&lt;301,3,4)))))</f>
        <v>0</v>
      </c>
      <c r="F10" s="39">
        <f t="shared" si="7"/>
        <v>4.16</v>
      </c>
      <c r="G10" s="39">
        <f t="shared" si="0"/>
        <v>35.659999999999997</v>
      </c>
      <c r="H10" s="39">
        <f t="shared" si="1"/>
        <v>1.0697999999999999</v>
      </c>
      <c r="I10" s="39">
        <f t="shared" si="2"/>
        <v>2.7279899999999997</v>
      </c>
      <c r="J10" s="39">
        <f t="shared" si="3"/>
        <v>5.1706999999999992</v>
      </c>
      <c r="K10" s="99">
        <f t="shared" si="4"/>
        <v>44.628489999999992</v>
      </c>
    </row>
    <row r="11" spans="1:19">
      <c r="A11" s="44" t="s">
        <v>16</v>
      </c>
      <c r="B11" s="34">
        <v>73</v>
      </c>
      <c r="C11" s="41" t="str">
        <f t="shared" si="5"/>
        <v>Truck Driver Dump</v>
      </c>
      <c r="D11" s="198">
        <f t="shared" si="6"/>
        <v>31.5</v>
      </c>
      <c r="E11" s="38">
        <f>IF('Mob Demob'!$J$2&lt;51,0,(IF('Mob Demob'!$J$2&lt;151,2,(IF('Mob Demob'!$J$2&lt;301,3,4)))))</f>
        <v>0</v>
      </c>
      <c r="F11" s="39">
        <f t="shared" si="7"/>
        <v>4.16</v>
      </c>
      <c r="G11" s="39">
        <f t="shared" si="0"/>
        <v>35.659999999999997</v>
      </c>
      <c r="H11" s="39">
        <f t="shared" si="1"/>
        <v>1.0697999999999999</v>
      </c>
      <c r="I11" s="39">
        <f t="shared" si="2"/>
        <v>2.7279899999999997</v>
      </c>
      <c r="J11" s="39">
        <f t="shared" si="3"/>
        <v>5.1706999999999992</v>
      </c>
      <c r="K11" s="99">
        <f t="shared" si="4"/>
        <v>44.628489999999992</v>
      </c>
    </row>
    <row r="12" spans="1:19" ht="15" thickBot="1">
      <c r="A12" s="45" t="s">
        <v>17</v>
      </c>
      <c r="B12" s="34">
        <v>124</v>
      </c>
      <c r="C12" s="41" t="str">
        <f t="shared" si="5"/>
        <v>Truck Driver Dump</v>
      </c>
      <c r="D12" s="198">
        <f t="shared" si="6"/>
        <v>31.5</v>
      </c>
      <c r="E12" s="38">
        <f>IF('Mob Demob'!$J$2&lt;51,0,(IF('Mob Demob'!$J$2&lt;151,2,(IF('Mob Demob'!$J$2&lt;301,3,4)))))</f>
        <v>0</v>
      </c>
      <c r="F12" s="39">
        <f t="shared" si="7"/>
        <v>4.16</v>
      </c>
      <c r="G12" s="39">
        <f t="shared" si="0"/>
        <v>35.659999999999997</v>
      </c>
      <c r="H12" s="39">
        <f t="shared" si="1"/>
        <v>1.0697999999999999</v>
      </c>
      <c r="I12" s="39">
        <f t="shared" si="2"/>
        <v>2.7279899999999997</v>
      </c>
      <c r="J12" s="39">
        <f t="shared" si="3"/>
        <v>5.1706999999999992</v>
      </c>
      <c r="K12" s="99">
        <f t="shared" si="4"/>
        <v>44.628489999999992</v>
      </c>
    </row>
    <row r="13" spans="1:19" ht="15" thickBot="1">
      <c r="A13" s="46" t="s">
        <v>18</v>
      </c>
      <c r="B13" s="65"/>
      <c r="C13" s="64"/>
      <c r="D13" s="64"/>
      <c r="E13" s="64"/>
      <c r="F13" s="64"/>
      <c r="G13" s="64"/>
      <c r="H13" s="64"/>
      <c r="I13" s="64"/>
      <c r="J13" s="64"/>
      <c r="K13" s="100"/>
    </row>
    <row r="14" spans="1:19">
      <c r="A14" s="47" t="s">
        <v>19</v>
      </c>
      <c r="B14" s="34">
        <v>21</v>
      </c>
      <c r="C14" s="41" t="str">
        <f t="shared" ref="C14:C15" si="8">IF(ISBLANK($C$7),"",$C$7)</f>
        <v>Truck Driver Dump</v>
      </c>
      <c r="D14" s="198">
        <f t="shared" ref="D14:D15" si="9">$D$7</f>
        <v>31.5</v>
      </c>
      <c r="E14" s="38">
        <f>IF('Mob Demob'!$J$2&lt;51,0,(IF('Mob Demob'!$J$2&lt;151,2,(IF('Mob Demob'!$J$2&lt;301,3,4)))))</f>
        <v>0</v>
      </c>
      <c r="F14" s="39">
        <f t="shared" si="7"/>
        <v>4.16</v>
      </c>
      <c r="G14" s="39">
        <f>D14+E14+F14</f>
        <v>35.659999999999997</v>
      </c>
      <c r="H14" s="39">
        <f>H$5*G14</f>
        <v>1.0697999999999999</v>
      </c>
      <c r="I14" s="39">
        <f>I$5*G14</f>
        <v>2.7279899999999997</v>
      </c>
      <c r="J14" s="39">
        <f>$J$5*G14</f>
        <v>5.1706999999999992</v>
      </c>
      <c r="K14" s="99">
        <f t="shared" si="4"/>
        <v>44.628489999999992</v>
      </c>
    </row>
    <row r="15" spans="1:19" ht="15" thickBot="1">
      <c r="A15" s="48" t="s">
        <v>20</v>
      </c>
      <c r="B15" s="34">
        <v>27</v>
      </c>
      <c r="C15" s="41" t="str">
        <f t="shared" si="8"/>
        <v>Truck Driver Dump</v>
      </c>
      <c r="D15" s="198">
        <f t="shared" si="9"/>
        <v>31.5</v>
      </c>
      <c r="E15" s="38">
        <f>IF('Mob Demob'!$J$2&lt;51,0,(IF('Mob Demob'!$J$2&lt;151,2,(IF('Mob Demob'!$J$2&lt;301,3,4)))))</f>
        <v>0</v>
      </c>
      <c r="F15" s="39">
        <f t="shared" si="7"/>
        <v>4.16</v>
      </c>
      <c r="G15" s="39">
        <f>D15+E15+F15</f>
        <v>35.659999999999997</v>
      </c>
      <c r="H15" s="39">
        <f>H$5*G15</f>
        <v>1.0697999999999999</v>
      </c>
      <c r="I15" s="39">
        <f>I$5*G15</f>
        <v>2.7279899999999997</v>
      </c>
      <c r="J15" s="39">
        <f>$J$5*G15</f>
        <v>5.1706999999999992</v>
      </c>
      <c r="K15" s="99">
        <f t="shared" si="4"/>
        <v>44.628489999999992</v>
      </c>
    </row>
    <row r="16" spans="1:19" ht="15" thickBot="1">
      <c r="A16" s="46" t="s">
        <v>21</v>
      </c>
      <c r="B16" s="65"/>
      <c r="C16" s="64"/>
      <c r="D16" s="64"/>
      <c r="E16" s="64"/>
      <c r="F16" s="64"/>
      <c r="G16" s="64"/>
      <c r="H16" s="64"/>
      <c r="I16" s="64"/>
      <c r="J16" s="64"/>
      <c r="K16" s="100"/>
    </row>
    <row r="17" spans="1:11">
      <c r="A17" s="44" t="s">
        <v>22</v>
      </c>
      <c r="B17" s="34">
        <v>25</v>
      </c>
      <c r="C17" s="41" t="str">
        <f t="shared" ref="C17:C20" si="10">IF(ISBLANK($C$7),"",$C$7)</f>
        <v>Truck Driver Dump</v>
      </c>
      <c r="D17" s="198">
        <f t="shared" ref="D17:D20" si="11">$D$7</f>
        <v>31.5</v>
      </c>
      <c r="E17" s="38">
        <f>IF('Mob Demob'!$J$2&lt;51,0,(IF('Mob Demob'!$J$2&lt;151,2,(IF('Mob Demob'!$J$2&lt;301,3,4)))))</f>
        <v>0</v>
      </c>
      <c r="F17" s="39">
        <f t="shared" si="7"/>
        <v>4.16</v>
      </c>
      <c r="G17" s="39">
        <f>D17+E17+F17</f>
        <v>35.659999999999997</v>
      </c>
      <c r="H17" s="39">
        <f>H$5*G17</f>
        <v>1.0697999999999999</v>
      </c>
      <c r="I17" s="39">
        <f>I$5*G17</f>
        <v>2.7279899999999997</v>
      </c>
      <c r="J17" s="39">
        <f>$J$5*G17</f>
        <v>5.1706999999999992</v>
      </c>
      <c r="K17" s="99">
        <f t="shared" si="4"/>
        <v>44.628489999999992</v>
      </c>
    </row>
    <row r="18" spans="1:11">
      <c r="A18" s="44" t="s">
        <v>23</v>
      </c>
      <c r="B18" s="34">
        <v>32</v>
      </c>
      <c r="C18" s="41" t="str">
        <f t="shared" si="10"/>
        <v>Truck Driver Dump</v>
      </c>
      <c r="D18" s="198">
        <f t="shared" si="11"/>
        <v>31.5</v>
      </c>
      <c r="E18" s="38">
        <f>IF('Mob Demob'!$J$2&lt;51,0,(IF('Mob Demob'!$J$2&lt;151,2,(IF('Mob Demob'!$J$2&lt;301,3,4)))))</f>
        <v>0</v>
      </c>
      <c r="F18" s="39">
        <f t="shared" si="7"/>
        <v>4.16</v>
      </c>
      <c r="G18" s="39">
        <f>D18+E18+F18</f>
        <v>35.659999999999997</v>
      </c>
      <c r="H18" s="39">
        <f>H$5*G18</f>
        <v>1.0697999999999999</v>
      </c>
      <c r="I18" s="39">
        <f>I$5*G18</f>
        <v>2.7279899999999997</v>
      </c>
      <c r="J18" s="39">
        <f>$J$5*G18</f>
        <v>5.1706999999999992</v>
      </c>
      <c r="K18" s="99">
        <f t="shared" si="4"/>
        <v>44.628489999999992</v>
      </c>
    </row>
    <row r="19" spans="1:11">
      <c r="A19" s="49" t="s">
        <v>24</v>
      </c>
      <c r="B19" s="34">
        <v>54</v>
      </c>
      <c r="C19" s="41" t="str">
        <f t="shared" si="10"/>
        <v>Truck Driver Dump</v>
      </c>
      <c r="D19" s="198">
        <f t="shared" si="11"/>
        <v>31.5</v>
      </c>
      <c r="E19" s="38">
        <f>IF('Mob Demob'!$J$2&lt;51,0,(IF('Mob Demob'!$J$2&lt;151,2,(IF('Mob Demob'!$J$2&lt;301,3,4)))))</f>
        <v>0</v>
      </c>
      <c r="F19" s="39">
        <f t="shared" si="7"/>
        <v>4.16</v>
      </c>
      <c r="G19" s="39">
        <f>D19+E19+F19</f>
        <v>35.659999999999997</v>
      </c>
      <c r="H19" s="39">
        <f>H$5*G19</f>
        <v>1.0697999999999999</v>
      </c>
      <c r="I19" s="39">
        <f>I$5*G19</f>
        <v>2.7279899999999997</v>
      </c>
      <c r="J19" s="39">
        <f>$J$5*G19</f>
        <v>5.1706999999999992</v>
      </c>
      <c r="K19" s="99">
        <f t="shared" si="4"/>
        <v>44.628489999999992</v>
      </c>
    </row>
    <row r="20" spans="1:11" ht="15" thickBot="1">
      <c r="A20" s="50" t="s">
        <v>25</v>
      </c>
      <c r="B20" s="34">
        <v>98</v>
      </c>
      <c r="C20" s="41" t="str">
        <f t="shared" si="10"/>
        <v>Truck Driver Dump</v>
      </c>
      <c r="D20" s="198">
        <f t="shared" si="11"/>
        <v>31.5</v>
      </c>
      <c r="E20" s="38">
        <f>IF('Mob Demob'!$J$2&lt;51,0,(IF('Mob Demob'!$J$2&lt;151,2,(IF('Mob Demob'!$J$2&lt;301,3,4)))))</f>
        <v>0</v>
      </c>
      <c r="F20" s="39">
        <f t="shared" si="7"/>
        <v>4.16</v>
      </c>
      <c r="G20" s="39">
        <f>D20+E20+F20</f>
        <v>35.659999999999997</v>
      </c>
      <c r="H20" s="39">
        <f>H$5*G20</f>
        <v>1.0697999999999999</v>
      </c>
      <c r="I20" s="39">
        <f>I$5*G20</f>
        <v>2.7279899999999997</v>
      </c>
      <c r="J20" s="39">
        <f>$J$5*G20</f>
        <v>5.1706999999999992</v>
      </c>
      <c r="K20" s="99">
        <f t="shared" si="4"/>
        <v>44.628489999999992</v>
      </c>
    </row>
    <row r="21" spans="1:11" ht="15" thickBot="1">
      <c r="A21" s="46" t="s">
        <v>26</v>
      </c>
      <c r="B21" s="65"/>
      <c r="C21" s="64"/>
      <c r="D21" s="64"/>
      <c r="E21" s="64"/>
      <c r="F21" s="64"/>
      <c r="G21" s="64"/>
      <c r="H21" s="64"/>
      <c r="I21" s="64"/>
      <c r="J21" s="64"/>
      <c r="K21" s="100"/>
    </row>
    <row r="22" spans="1:11">
      <c r="A22" s="49" t="s">
        <v>27</v>
      </c>
      <c r="B22" s="34">
        <v>51</v>
      </c>
      <c r="C22" s="41" t="str">
        <f t="shared" ref="C22:C23" si="12">IF(ISBLANK($C$7),"",$C$7)</f>
        <v>Truck Driver Dump</v>
      </c>
      <c r="D22" s="198">
        <f t="shared" ref="D22:D23" si="13">$D$7</f>
        <v>31.5</v>
      </c>
      <c r="E22" s="38">
        <f>IF('Mob Demob'!$J$2&lt;51,0,(IF('Mob Demob'!$J$2&lt;151,2,(IF('Mob Demob'!$J$2&lt;301,3,4)))))</f>
        <v>0</v>
      </c>
      <c r="F22" s="39">
        <f t="shared" si="7"/>
        <v>4.16</v>
      </c>
      <c r="G22" s="39">
        <f>D22+E22+F22</f>
        <v>35.659999999999997</v>
      </c>
      <c r="H22" s="39">
        <f>H$5*G22</f>
        <v>1.0697999999999999</v>
      </c>
      <c r="I22" s="39">
        <f>I$5*G22</f>
        <v>2.7279899999999997</v>
      </c>
      <c r="J22" s="39">
        <f>$J$5*G22</f>
        <v>5.1706999999999992</v>
      </c>
      <c r="K22" s="99">
        <f t="shared" si="4"/>
        <v>44.628489999999992</v>
      </c>
    </row>
    <row r="23" spans="1:11" ht="15" thickBot="1">
      <c r="A23" s="50" t="s">
        <v>28</v>
      </c>
      <c r="B23" s="34">
        <v>57</v>
      </c>
      <c r="C23" s="41" t="str">
        <f t="shared" si="12"/>
        <v>Truck Driver Dump</v>
      </c>
      <c r="D23" s="198">
        <f t="shared" si="13"/>
        <v>31.5</v>
      </c>
      <c r="E23" s="38">
        <f>IF('Mob Demob'!$J$2&lt;51,0,(IF('Mob Demob'!$J$2&lt;151,2,(IF('Mob Demob'!$J$2&lt;301,3,4)))))</f>
        <v>0</v>
      </c>
      <c r="F23" s="39">
        <f t="shared" si="7"/>
        <v>4.16</v>
      </c>
      <c r="G23" s="39">
        <f>D23+E23+F23</f>
        <v>35.659999999999997</v>
      </c>
      <c r="H23" s="39">
        <f>H$5*G23</f>
        <v>1.0697999999999999</v>
      </c>
      <c r="I23" s="39">
        <f>I$5*G23</f>
        <v>2.7279899999999997</v>
      </c>
      <c r="J23" s="39">
        <f>$J$5*G23</f>
        <v>5.1706999999999992</v>
      </c>
      <c r="K23" s="99">
        <f t="shared" si="4"/>
        <v>44.628489999999992</v>
      </c>
    </row>
    <row r="24" spans="1:11" ht="15" thickBot="1">
      <c r="A24" s="46" t="s">
        <v>29</v>
      </c>
      <c r="B24" s="65"/>
      <c r="C24" s="64"/>
      <c r="D24" s="64"/>
      <c r="E24" s="64"/>
      <c r="F24" s="64"/>
      <c r="G24" s="64"/>
      <c r="H24" s="64"/>
      <c r="I24" s="64"/>
      <c r="J24" s="64"/>
      <c r="K24" s="100"/>
    </row>
    <row r="25" spans="1:11">
      <c r="A25" s="49" t="s">
        <v>30</v>
      </c>
      <c r="B25" s="34">
        <v>13</v>
      </c>
      <c r="C25" s="41" t="str">
        <f t="shared" ref="C25:C29" si="14">IF(ISBLANK($C$7),"",$C$7)</f>
        <v>Truck Driver Dump</v>
      </c>
      <c r="D25" s="198">
        <f t="shared" ref="D25:D36" si="15">$D$7</f>
        <v>31.5</v>
      </c>
      <c r="E25" s="38">
        <f>IF('Mob Demob'!$J$2&lt;51,0,(IF('Mob Demob'!$J$2&lt;151,2,(IF('Mob Demob'!$J$2&lt;301,3,4)))))</f>
        <v>0</v>
      </c>
      <c r="F25" s="39">
        <f t="shared" si="7"/>
        <v>4.16</v>
      </c>
      <c r="G25" s="39">
        <f>D25+E25+F25</f>
        <v>35.659999999999997</v>
      </c>
      <c r="H25" s="39">
        <f>H$5*G25</f>
        <v>1.0697999999999999</v>
      </c>
      <c r="I25" s="39">
        <f>I$5*G25</f>
        <v>2.7279899999999997</v>
      </c>
      <c r="J25" s="39">
        <f>$J$5*G25</f>
        <v>5.1706999999999992</v>
      </c>
      <c r="K25" s="99">
        <f t="shared" si="4"/>
        <v>44.628489999999992</v>
      </c>
    </row>
    <row r="26" spans="1:11">
      <c r="A26" s="59" t="s">
        <v>31</v>
      </c>
      <c r="B26" s="34">
        <v>25</v>
      </c>
      <c r="C26" s="41" t="str">
        <f t="shared" si="14"/>
        <v>Truck Driver Dump</v>
      </c>
      <c r="D26" s="198">
        <f t="shared" si="15"/>
        <v>31.5</v>
      </c>
      <c r="E26" s="38">
        <f>IF('Mob Demob'!$J$2&lt;51,0,(IF('Mob Demob'!$J$2&lt;151,2,(IF('Mob Demob'!$J$2&lt;301,3,4)))))</f>
        <v>0</v>
      </c>
      <c r="F26" s="39">
        <f t="shared" si="7"/>
        <v>4.16</v>
      </c>
      <c r="G26" s="39">
        <f>D26+E26+F26</f>
        <v>35.659999999999997</v>
      </c>
      <c r="H26" s="39">
        <f>H$5*G26</f>
        <v>1.0697999999999999</v>
      </c>
      <c r="I26" s="39">
        <f>I$5*G26</f>
        <v>2.7279899999999997</v>
      </c>
      <c r="J26" s="39">
        <f>$J$5*G26</f>
        <v>5.1706999999999992</v>
      </c>
      <c r="K26" s="99">
        <f t="shared" si="4"/>
        <v>44.628489999999992</v>
      </c>
    </row>
    <row r="27" spans="1:11">
      <c r="A27" s="59" t="s">
        <v>32</v>
      </c>
      <c r="B27" s="34">
        <v>28</v>
      </c>
      <c r="C27" s="41" t="str">
        <f t="shared" si="14"/>
        <v>Truck Driver Dump</v>
      </c>
      <c r="D27" s="198">
        <f t="shared" si="15"/>
        <v>31.5</v>
      </c>
      <c r="E27" s="38">
        <f>IF('Mob Demob'!$J$2&lt;51,0,(IF('Mob Demob'!$J$2&lt;151,2,(IF('Mob Demob'!$J$2&lt;301,3,4)))))</f>
        <v>0</v>
      </c>
      <c r="F27" s="39">
        <f t="shared" si="7"/>
        <v>4.16</v>
      </c>
      <c r="G27" s="39">
        <f>D27+E27+F27</f>
        <v>35.659999999999997</v>
      </c>
      <c r="H27" s="39">
        <f>H$5*G27</f>
        <v>1.0697999999999999</v>
      </c>
      <c r="I27" s="39">
        <f>I$5*G27</f>
        <v>2.7279899999999997</v>
      </c>
      <c r="J27" s="39">
        <f>$J$5*G27</f>
        <v>5.1706999999999992</v>
      </c>
      <c r="K27" s="99">
        <f t="shared" si="4"/>
        <v>44.628489999999992</v>
      </c>
    </row>
    <row r="28" spans="1:11">
      <c r="A28" s="49" t="s">
        <v>33</v>
      </c>
      <c r="B28" s="34">
        <v>56</v>
      </c>
      <c r="C28" s="41" t="str">
        <f t="shared" si="14"/>
        <v>Truck Driver Dump</v>
      </c>
      <c r="D28" s="198">
        <f t="shared" si="15"/>
        <v>31.5</v>
      </c>
      <c r="E28" s="38">
        <f>IF('Mob Demob'!$J$2&lt;51,0,(IF('Mob Demob'!$J$2&lt;151,2,(IF('Mob Demob'!$J$2&lt;301,3,4)))))</f>
        <v>0</v>
      </c>
      <c r="F28" s="39">
        <f t="shared" si="7"/>
        <v>4.16</v>
      </c>
      <c r="G28" s="39">
        <f>D28+E28+F28</f>
        <v>35.659999999999997</v>
      </c>
      <c r="H28" s="39">
        <f>H$5*G28</f>
        <v>1.0697999999999999</v>
      </c>
      <c r="I28" s="39">
        <f>I$5*G28</f>
        <v>2.7279899999999997</v>
      </c>
      <c r="J28" s="39">
        <f>$J$5*G28</f>
        <v>5.1706999999999992</v>
      </c>
      <c r="K28" s="99">
        <f t="shared" si="4"/>
        <v>44.628489999999992</v>
      </c>
    </row>
    <row r="29" spans="1:11" ht="15" thickBot="1">
      <c r="A29" s="45" t="s">
        <v>34</v>
      </c>
      <c r="B29" s="34">
        <v>110</v>
      </c>
      <c r="C29" s="41" t="str">
        <f t="shared" si="14"/>
        <v>Truck Driver Dump</v>
      </c>
      <c r="D29" s="198">
        <f t="shared" si="15"/>
        <v>31.5</v>
      </c>
      <c r="E29" s="38">
        <f>IF('Mob Demob'!$J$2&lt;51,0,(IF('Mob Demob'!$J$2&lt;151,2,(IF('Mob Demob'!$J$2&lt;301,3,4)))))</f>
        <v>0</v>
      </c>
      <c r="F29" s="39">
        <f t="shared" si="7"/>
        <v>4.16</v>
      </c>
      <c r="G29" s="39">
        <f>D29+E29+F29</f>
        <v>35.659999999999997</v>
      </c>
      <c r="H29" s="39">
        <f>H$5*G29</f>
        <v>1.0697999999999999</v>
      </c>
      <c r="I29" s="39">
        <f>I$5*G29</f>
        <v>2.7279899999999997</v>
      </c>
      <c r="J29" s="39">
        <f>$J$5*G29</f>
        <v>5.1706999999999992</v>
      </c>
      <c r="K29" s="99">
        <f t="shared" si="4"/>
        <v>44.628489999999992</v>
      </c>
    </row>
    <row r="30" spans="1:11" ht="15" thickBot="1">
      <c r="A30" s="46" t="s">
        <v>132</v>
      </c>
      <c r="B30" s="65"/>
      <c r="C30" s="64"/>
      <c r="D30" s="64"/>
      <c r="E30" s="64"/>
      <c r="F30" s="64"/>
      <c r="G30" s="64"/>
      <c r="H30" s="64"/>
      <c r="I30" s="64"/>
      <c r="J30" s="64"/>
      <c r="K30" s="100"/>
    </row>
    <row r="31" spans="1:11" ht="25.5">
      <c r="A31" s="49" t="s">
        <v>35</v>
      </c>
      <c r="B31" s="34" t="s">
        <v>124</v>
      </c>
      <c r="C31" s="41" t="s">
        <v>106</v>
      </c>
      <c r="D31" s="198">
        <f t="shared" si="15"/>
        <v>31.5</v>
      </c>
      <c r="E31" s="38">
        <f>IF('Mob Demob'!$J$2&lt;51,0,(IF('Mob Demob'!$J$2&lt;151,2,(IF('Mob Demob'!$J$2&lt;301,3,4)))))</f>
        <v>0</v>
      </c>
      <c r="F31" s="39">
        <f t="shared" si="7"/>
        <v>4.16</v>
      </c>
      <c r="G31" s="39">
        <f>D31+E31+F31</f>
        <v>35.659999999999997</v>
      </c>
      <c r="H31" s="39">
        <f>H$5*G31</f>
        <v>1.0697999999999999</v>
      </c>
      <c r="I31" s="39">
        <f>I$5*G31</f>
        <v>2.7279899999999997</v>
      </c>
      <c r="J31" s="39">
        <f>$J$5*G31</f>
        <v>5.1706999999999992</v>
      </c>
      <c r="K31" s="99">
        <f t="shared" si="4"/>
        <v>44.628489999999992</v>
      </c>
    </row>
    <row r="32" spans="1:11" ht="25.5">
      <c r="A32" s="59" t="s">
        <v>36</v>
      </c>
      <c r="B32" s="34" t="s">
        <v>124</v>
      </c>
      <c r="C32" s="41" t="s">
        <v>106</v>
      </c>
      <c r="D32" s="198">
        <f t="shared" si="15"/>
        <v>31.5</v>
      </c>
      <c r="E32" s="38">
        <f>IF('Mob Demob'!$J$2&lt;51,0,(IF('Mob Demob'!$J$2&lt;151,2,(IF('Mob Demob'!$J$2&lt;301,3,4)))))</f>
        <v>0</v>
      </c>
      <c r="F32" s="39">
        <f t="shared" si="7"/>
        <v>4.16</v>
      </c>
      <c r="G32" s="39">
        <f>D32+E32+F32</f>
        <v>35.659999999999997</v>
      </c>
      <c r="H32" s="39">
        <f>H$5*G32</f>
        <v>1.0697999999999999</v>
      </c>
      <c r="I32" s="39">
        <f>I$5*G32</f>
        <v>2.7279899999999997</v>
      </c>
      <c r="J32" s="39">
        <f>$J$5*G32</f>
        <v>5.1706999999999992</v>
      </c>
      <c r="K32" s="99">
        <f t="shared" si="4"/>
        <v>44.628489999999992</v>
      </c>
    </row>
    <row r="33" spans="1:11" ht="26.25" thickBot="1">
      <c r="A33" s="60" t="s">
        <v>37</v>
      </c>
      <c r="B33" s="34" t="s">
        <v>124</v>
      </c>
      <c r="C33" s="41" t="s">
        <v>106</v>
      </c>
      <c r="D33" s="198">
        <f t="shared" si="15"/>
        <v>31.5</v>
      </c>
      <c r="E33" s="38">
        <f>IF('Mob Demob'!$J$2&lt;51,0,(IF('Mob Demob'!$J$2&lt;151,2,(IF('Mob Demob'!$J$2&lt;301,3,4)))))</f>
        <v>0</v>
      </c>
      <c r="F33" s="39">
        <f t="shared" si="7"/>
        <v>4.16</v>
      </c>
      <c r="G33" s="39">
        <f>D33+E33+F33</f>
        <v>35.659999999999997</v>
      </c>
      <c r="H33" s="39">
        <f>H$5*G33</f>
        <v>1.0697999999999999</v>
      </c>
      <c r="I33" s="39">
        <f>I$5*G33</f>
        <v>2.7279899999999997</v>
      </c>
      <c r="J33" s="39">
        <f>$J$5*G33</f>
        <v>5.1706999999999992</v>
      </c>
      <c r="K33" s="99">
        <f t="shared" si="4"/>
        <v>44.628489999999992</v>
      </c>
    </row>
    <row r="34" spans="1:11" ht="15" thickBot="1">
      <c r="A34" s="46" t="s">
        <v>38</v>
      </c>
      <c r="B34" s="65"/>
      <c r="C34" s="64"/>
      <c r="D34" s="64"/>
      <c r="E34" s="64"/>
      <c r="F34" s="64"/>
      <c r="G34" s="64"/>
      <c r="H34" s="64"/>
      <c r="I34" s="64"/>
      <c r="J34" s="64"/>
      <c r="K34" s="100"/>
    </row>
    <row r="35" spans="1:11">
      <c r="A35" s="51" t="s">
        <v>39</v>
      </c>
      <c r="B35" s="34">
        <v>8</v>
      </c>
      <c r="C35" s="41" t="str">
        <f>$C$7</f>
        <v>Truck Driver Dump</v>
      </c>
      <c r="D35" s="198">
        <f t="shared" si="15"/>
        <v>31.5</v>
      </c>
      <c r="E35" s="38">
        <f>IF('Mob Demob'!$J$2&lt;51,0,(IF('Mob Demob'!$J$2&lt;151,2,(IF('Mob Demob'!$J$2&lt;301,3,4)))))</f>
        <v>0</v>
      </c>
      <c r="F35" s="39">
        <f t="shared" si="7"/>
        <v>4.16</v>
      </c>
      <c r="G35" s="39">
        <f t="shared" ref="G35:G41" si="16">D35+E35+F35</f>
        <v>35.659999999999997</v>
      </c>
      <c r="H35" s="39">
        <f t="shared" ref="H35:H48" si="17">H$5*G35</f>
        <v>1.0697999999999999</v>
      </c>
      <c r="I35" s="39">
        <f t="shared" ref="I35:I48" si="18">I$5*G35</f>
        <v>2.7279899999999997</v>
      </c>
      <c r="J35" s="39">
        <f t="shared" ref="J35:J48" si="19">$J$5*G35</f>
        <v>5.1706999999999992</v>
      </c>
      <c r="K35" s="99">
        <f t="shared" si="4"/>
        <v>44.628489999999992</v>
      </c>
    </row>
    <row r="36" spans="1:11">
      <c r="A36" s="61" t="s">
        <v>40</v>
      </c>
      <c r="B36" s="34">
        <v>12</v>
      </c>
      <c r="C36" s="41" t="str">
        <f>$C$7</f>
        <v>Truck Driver Dump</v>
      </c>
      <c r="D36" s="198">
        <f t="shared" si="15"/>
        <v>31.5</v>
      </c>
      <c r="E36" s="38">
        <f>IF('Mob Demob'!$J$2&lt;51,0,(IF('Mob Demob'!$J$2&lt;151,2,(IF('Mob Demob'!$J$2&lt;301,3,4)))))</f>
        <v>0</v>
      </c>
      <c r="F36" s="39">
        <f t="shared" si="7"/>
        <v>4.16</v>
      </c>
      <c r="G36" s="39">
        <f t="shared" si="16"/>
        <v>35.659999999999997</v>
      </c>
      <c r="H36" s="39">
        <f t="shared" si="17"/>
        <v>1.0697999999999999</v>
      </c>
      <c r="I36" s="39">
        <f t="shared" si="18"/>
        <v>2.7279899999999997</v>
      </c>
      <c r="J36" s="39">
        <f t="shared" si="19"/>
        <v>5.1706999999999992</v>
      </c>
      <c r="K36" s="99">
        <f t="shared" si="4"/>
        <v>44.628489999999992</v>
      </c>
    </row>
    <row r="37" spans="1:11" ht="25.5">
      <c r="A37" s="48" t="s">
        <v>41</v>
      </c>
      <c r="B37" s="34" t="s">
        <v>88</v>
      </c>
      <c r="C37" s="41" t="s">
        <v>107</v>
      </c>
      <c r="D37" s="39">
        <v>32.450000000000003</v>
      </c>
      <c r="E37" s="38">
        <v>0</v>
      </c>
      <c r="F37" s="39">
        <v>15.7</v>
      </c>
      <c r="G37" s="39">
        <f t="shared" si="16"/>
        <v>48.150000000000006</v>
      </c>
      <c r="H37" s="39">
        <f t="shared" si="17"/>
        <v>1.4445000000000001</v>
      </c>
      <c r="I37" s="39">
        <f t="shared" si="18"/>
        <v>3.6834750000000005</v>
      </c>
      <c r="J37" s="39">
        <f t="shared" si="19"/>
        <v>6.9817499999999999</v>
      </c>
      <c r="K37" s="99">
        <f t="shared" si="4"/>
        <v>60.259725000000003</v>
      </c>
    </row>
    <row r="38" spans="1:11" ht="25.5">
      <c r="A38" s="52" t="s">
        <v>42</v>
      </c>
      <c r="B38" s="34" t="s">
        <v>88</v>
      </c>
      <c r="C38" s="41" t="s">
        <v>107</v>
      </c>
      <c r="D38" s="39">
        <f>$D$37</f>
        <v>32.450000000000003</v>
      </c>
      <c r="E38" s="38">
        <f>IF('Mob Demob'!$J$2&lt;51,0,(IF('Mob Demob'!$J$2&lt;151,2,(IF('Mob Demob'!$J$2&lt;301,3,4)))))</f>
        <v>0</v>
      </c>
      <c r="F38" s="39">
        <f>$F$37</f>
        <v>15.7</v>
      </c>
      <c r="G38" s="39">
        <f t="shared" si="16"/>
        <v>48.150000000000006</v>
      </c>
      <c r="H38" s="39">
        <f t="shared" si="17"/>
        <v>1.4445000000000001</v>
      </c>
      <c r="I38" s="39">
        <f t="shared" si="18"/>
        <v>3.6834750000000005</v>
      </c>
      <c r="J38" s="39">
        <f t="shared" si="19"/>
        <v>6.9817499999999999</v>
      </c>
      <c r="K38" s="99">
        <f t="shared" si="4"/>
        <v>60.259725000000003</v>
      </c>
    </row>
    <row r="39" spans="1:11" ht="25.5">
      <c r="A39" s="52" t="s">
        <v>43</v>
      </c>
      <c r="B39" s="34" t="s">
        <v>89</v>
      </c>
      <c r="C39" s="41" t="str">
        <f t="shared" ref="C39:C40" si="20">$C$7</f>
        <v>Truck Driver Dump</v>
      </c>
      <c r="D39" s="198">
        <f t="shared" ref="D39:D40" si="21">$D$7</f>
        <v>31.5</v>
      </c>
      <c r="E39" s="38">
        <f>IF('Mob Demob'!$J$2&lt;51,0,(IF('Mob Demob'!$J$2&lt;151,2,(IF('Mob Demob'!$J$2&lt;301,3,4)))))</f>
        <v>0</v>
      </c>
      <c r="F39" s="39">
        <f t="shared" ref="F39:F40" si="22">$F$7</f>
        <v>4.16</v>
      </c>
      <c r="G39" s="39">
        <f t="shared" si="16"/>
        <v>35.659999999999997</v>
      </c>
      <c r="H39" s="39">
        <f t="shared" si="17"/>
        <v>1.0697999999999999</v>
      </c>
      <c r="I39" s="39">
        <f t="shared" si="18"/>
        <v>2.7279899999999997</v>
      </c>
      <c r="J39" s="39">
        <f t="shared" si="19"/>
        <v>5.1706999999999992</v>
      </c>
      <c r="K39" s="99">
        <f t="shared" si="4"/>
        <v>44.628489999999992</v>
      </c>
    </row>
    <row r="40" spans="1:11" ht="25.5">
      <c r="A40" s="52" t="s">
        <v>44</v>
      </c>
      <c r="B40" s="34" t="s">
        <v>89</v>
      </c>
      <c r="C40" s="41" t="str">
        <f t="shared" si="20"/>
        <v>Truck Driver Dump</v>
      </c>
      <c r="D40" s="198">
        <f t="shared" si="21"/>
        <v>31.5</v>
      </c>
      <c r="E40" s="38">
        <f>IF('Mob Demob'!$J$2&lt;51,0,(IF('Mob Demob'!$J$2&lt;151,2,(IF('Mob Demob'!$J$2&lt;301,3,4)))))</f>
        <v>0</v>
      </c>
      <c r="F40" s="39">
        <f t="shared" si="22"/>
        <v>4.16</v>
      </c>
      <c r="G40" s="39">
        <f t="shared" si="16"/>
        <v>35.659999999999997</v>
      </c>
      <c r="H40" s="39">
        <f t="shared" si="17"/>
        <v>1.0697999999999999</v>
      </c>
      <c r="I40" s="39">
        <f t="shared" si="18"/>
        <v>2.7279899999999997</v>
      </c>
      <c r="J40" s="39">
        <f t="shared" si="19"/>
        <v>5.1706999999999992</v>
      </c>
      <c r="K40" s="99">
        <f t="shared" si="4"/>
        <v>44.628489999999992</v>
      </c>
    </row>
    <row r="41" spans="1:11" ht="25.5">
      <c r="A41" s="49" t="s">
        <v>45</v>
      </c>
      <c r="B41" s="34" t="s">
        <v>88</v>
      </c>
      <c r="C41" s="196" t="s">
        <v>156</v>
      </c>
      <c r="D41" s="71">
        <v>50.64</v>
      </c>
      <c r="E41" s="38">
        <v>0</v>
      </c>
      <c r="F41" s="39">
        <v>26.88</v>
      </c>
      <c r="G41" s="39">
        <f t="shared" si="16"/>
        <v>77.52</v>
      </c>
      <c r="H41" s="39">
        <f t="shared" si="17"/>
        <v>2.3255999999999997</v>
      </c>
      <c r="I41" s="39">
        <f t="shared" si="18"/>
        <v>5.9302799999999998</v>
      </c>
      <c r="J41" s="39">
        <f t="shared" si="19"/>
        <v>11.240399999999999</v>
      </c>
      <c r="K41" s="99">
        <f t="shared" si="4"/>
        <v>97.016279999999981</v>
      </c>
    </row>
    <row r="42" spans="1:11" ht="25.5">
      <c r="A42" s="44" t="s">
        <v>46</v>
      </c>
      <c r="B42" s="34" t="s">
        <v>88</v>
      </c>
      <c r="C42" s="196" t="str">
        <f>C41</f>
        <v>Loader</v>
      </c>
      <c r="D42" s="71">
        <f>D41</f>
        <v>50.64</v>
      </c>
      <c r="E42" s="38">
        <f>IF('Mob Demob'!$J$2&lt;51,0,(IF('Mob Demob'!$J$2&lt;151,2,(IF('Mob Demob'!$J$2&lt;301,3,4)))))</f>
        <v>0</v>
      </c>
      <c r="F42" s="39">
        <f>$F$41</f>
        <v>26.88</v>
      </c>
      <c r="G42" s="39">
        <f>D42+E42+F42</f>
        <v>77.52</v>
      </c>
      <c r="H42" s="39">
        <f t="shared" si="17"/>
        <v>2.3255999999999997</v>
      </c>
      <c r="I42" s="39">
        <f t="shared" si="18"/>
        <v>5.9302799999999998</v>
      </c>
      <c r="J42" s="39">
        <f t="shared" si="19"/>
        <v>11.240399999999999</v>
      </c>
      <c r="K42" s="99">
        <f>G42+H42+I42+J42</f>
        <v>97.016279999999981</v>
      </c>
    </row>
    <row r="43" spans="1:11" ht="25.5">
      <c r="A43" s="45" t="s">
        <v>47</v>
      </c>
      <c r="B43" s="34" t="s">
        <v>89</v>
      </c>
      <c r="C43" s="41" t="str">
        <f t="shared" ref="C43:C46" si="23">$C$7</f>
        <v>Truck Driver Dump</v>
      </c>
      <c r="D43" s="198">
        <f t="shared" ref="D43:D46" si="24">$D$7</f>
        <v>31.5</v>
      </c>
      <c r="E43" s="38">
        <f>IF('Mob Demob'!$J$2&lt;51,0,(IF('Mob Demob'!$J$2&lt;151,2,(IF('Mob Demob'!$J$2&lt;301,3,4)))))</f>
        <v>0</v>
      </c>
      <c r="F43" s="39">
        <f t="shared" ref="F43:F46" si="25">$F$7</f>
        <v>4.16</v>
      </c>
      <c r="G43" s="39">
        <f t="shared" ref="G43:G48" si="26">D43+E43+F43</f>
        <v>35.659999999999997</v>
      </c>
      <c r="H43" s="39">
        <f t="shared" si="17"/>
        <v>1.0697999999999999</v>
      </c>
      <c r="I43" s="39">
        <f t="shared" si="18"/>
        <v>2.7279899999999997</v>
      </c>
      <c r="J43" s="39">
        <f t="shared" si="19"/>
        <v>5.1706999999999992</v>
      </c>
      <c r="K43" s="99">
        <f t="shared" si="4"/>
        <v>44.628489999999992</v>
      </c>
    </row>
    <row r="44" spans="1:11" ht="25.5">
      <c r="A44" s="44" t="s">
        <v>48</v>
      </c>
      <c r="B44" s="34" t="s">
        <v>89</v>
      </c>
      <c r="C44" s="41" t="str">
        <f t="shared" si="23"/>
        <v>Truck Driver Dump</v>
      </c>
      <c r="D44" s="198">
        <f t="shared" si="24"/>
        <v>31.5</v>
      </c>
      <c r="E44" s="38">
        <f>IF('Mob Demob'!$J$2&lt;51,0,(IF('Mob Demob'!$J$2&lt;151,2,(IF('Mob Demob'!$J$2&lt;301,3,4)))))</f>
        <v>0</v>
      </c>
      <c r="F44" s="39">
        <f t="shared" si="25"/>
        <v>4.16</v>
      </c>
      <c r="G44" s="39">
        <f t="shared" si="26"/>
        <v>35.659999999999997</v>
      </c>
      <c r="H44" s="39">
        <f t="shared" si="17"/>
        <v>1.0697999999999999</v>
      </c>
      <c r="I44" s="39">
        <f t="shared" si="18"/>
        <v>2.7279899999999997</v>
      </c>
      <c r="J44" s="39">
        <f t="shared" si="19"/>
        <v>5.1706999999999992</v>
      </c>
      <c r="K44" s="99">
        <f t="shared" si="4"/>
        <v>44.628489999999992</v>
      </c>
    </row>
    <row r="45" spans="1:11" ht="25.5">
      <c r="A45" s="45" t="s">
        <v>49</v>
      </c>
      <c r="B45" s="34" t="s">
        <v>89</v>
      </c>
      <c r="C45" s="41" t="str">
        <f t="shared" si="23"/>
        <v>Truck Driver Dump</v>
      </c>
      <c r="D45" s="198">
        <f t="shared" si="24"/>
        <v>31.5</v>
      </c>
      <c r="E45" s="38">
        <f>IF('Mob Demob'!$J$2&lt;51,0,(IF('Mob Demob'!$J$2&lt;151,2,(IF('Mob Demob'!$J$2&lt;301,3,4)))))</f>
        <v>0</v>
      </c>
      <c r="F45" s="39">
        <f t="shared" si="25"/>
        <v>4.16</v>
      </c>
      <c r="G45" s="39">
        <f t="shared" si="26"/>
        <v>35.659999999999997</v>
      </c>
      <c r="H45" s="39">
        <f t="shared" si="17"/>
        <v>1.0697999999999999</v>
      </c>
      <c r="I45" s="39">
        <f t="shared" si="18"/>
        <v>2.7279899999999997</v>
      </c>
      <c r="J45" s="39">
        <f t="shared" si="19"/>
        <v>5.1706999999999992</v>
      </c>
      <c r="K45" s="99">
        <f t="shared" si="4"/>
        <v>44.628489999999992</v>
      </c>
    </row>
    <row r="46" spans="1:11" ht="25.5">
      <c r="A46" s="45" t="s">
        <v>50</v>
      </c>
      <c r="B46" s="34" t="s">
        <v>89</v>
      </c>
      <c r="C46" s="41" t="str">
        <f t="shared" si="23"/>
        <v>Truck Driver Dump</v>
      </c>
      <c r="D46" s="198">
        <f t="shared" si="24"/>
        <v>31.5</v>
      </c>
      <c r="E46" s="38">
        <f>IF('Mob Demob'!$J$2&lt;51,0,(IF('Mob Demob'!$J$2&lt;151,2,(IF('Mob Demob'!$J$2&lt;301,3,4)))))</f>
        <v>0</v>
      </c>
      <c r="F46" s="39">
        <f t="shared" si="25"/>
        <v>4.16</v>
      </c>
      <c r="G46" s="39">
        <f t="shared" si="26"/>
        <v>35.659999999999997</v>
      </c>
      <c r="H46" s="39">
        <f t="shared" si="17"/>
        <v>1.0697999999999999</v>
      </c>
      <c r="I46" s="39">
        <f t="shared" si="18"/>
        <v>2.7279899999999997</v>
      </c>
      <c r="J46" s="39">
        <f t="shared" si="19"/>
        <v>5.1706999999999992</v>
      </c>
      <c r="K46" s="99">
        <f t="shared" si="4"/>
        <v>44.628489999999992</v>
      </c>
    </row>
    <row r="47" spans="1:11" ht="25.5">
      <c r="A47" s="45" t="s">
        <v>51</v>
      </c>
      <c r="B47" s="35" t="s">
        <v>90</v>
      </c>
      <c r="C47" s="196" t="s">
        <v>157</v>
      </c>
      <c r="D47" s="73">
        <v>50.4</v>
      </c>
      <c r="E47" s="38">
        <v>0</v>
      </c>
      <c r="F47" s="39">
        <v>26.88</v>
      </c>
      <c r="G47" s="39">
        <f t="shared" si="26"/>
        <v>77.28</v>
      </c>
      <c r="H47" s="39">
        <f t="shared" si="17"/>
        <v>2.3184</v>
      </c>
      <c r="I47" s="39">
        <f t="shared" si="18"/>
        <v>5.9119200000000003</v>
      </c>
      <c r="J47" s="39">
        <f t="shared" si="19"/>
        <v>11.205599999999999</v>
      </c>
      <c r="K47" s="99">
        <f t="shared" si="4"/>
        <v>96.715919999999997</v>
      </c>
    </row>
    <row r="48" spans="1:11" ht="26.25" thickBot="1">
      <c r="A48" s="45" t="s">
        <v>52</v>
      </c>
      <c r="B48" s="35" t="s">
        <v>90</v>
      </c>
      <c r="C48" s="196" t="s">
        <v>158</v>
      </c>
      <c r="D48" s="72">
        <v>50.4</v>
      </c>
      <c r="E48" s="38">
        <v>0</v>
      </c>
      <c r="F48" s="39">
        <v>26.88</v>
      </c>
      <c r="G48" s="39">
        <f t="shared" si="26"/>
        <v>77.28</v>
      </c>
      <c r="H48" s="39">
        <f t="shared" si="17"/>
        <v>2.3184</v>
      </c>
      <c r="I48" s="39">
        <f t="shared" si="18"/>
        <v>5.9119200000000003</v>
      </c>
      <c r="J48" s="39">
        <f t="shared" si="19"/>
        <v>11.205599999999999</v>
      </c>
      <c r="K48" s="99">
        <f t="shared" si="4"/>
        <v>96.715919999999997</v>
      </c>
    </row>
    <row r="49" spans="1:11" ht="15" thickBot="1">
      <c r="A49" s="46" t="s">
        <v>53</v>
      </c>
      <c r="B49" s="65"/>
      <c r="C49" s="64"/>
      <c r="D49" s="64"/>
      <c r="E49" s="64"/>
      <c r="F49" s="64"/>
      <c r="G49" s="64"/>
      <c r="H49" s="64"/>
      <c r="I49" s="64"/>
      <c r="J49" s="64"/>
      <c r="K49" s="100"/>
    </row>
    <row r="50" spans="1:11">
      <c r="A50" s="48">
        <v>725</v>
      </c>
      <c r="B50" s="34">
        <v>25</v>
      </c>
      <c r="C50" s="41" t="str">
        <f t="shared" ref="C50:C56" si="27">$C$7</f>
        <v>Truck Driver Dump</v>
      </c>
      <c r="D50" s="198">
        <f t="shared" ref="D50:D56" si="28">$D$7</f>
        <v>31.5</v>
      </c>
      <c r="E50" s="38">
        <f>IF('Mob Demob'!$J$2&lt;51,0,(IF('Mob Demob'!$J$2&lt;151,2,(IF('Mob Demob'!$J$2&lt;301,3,4)))))</f>
        <v>0</v>
      </c>
      <c r="F50" s="39">
        <f t="shared" ref="F50:F56" si="29">$F$7</f>
        <v>4.16</v>
      </c>
      <c r="G50" s="39">
        <f t="shared" ref="G50:G56" si="30">D50+E50+F50</f>
        <v>35.659999999999997</v>
      </c>
      <c r="H50" s="39">
        <f t="shared" ref="H50:H56" si="31">H$5*G50</f>
        <v>1.0697999999999999</v>
      </c>
      <c r="I50" s="39">
        <f t="shared" ref="I50:I56" si="32">I$5*G50</f>
        <v>2.7279899999999997</v>
      </c>
      <c r="J50" s="39">
        <f t="shared" ref="J50:J56" si="33">$J$5*G50</f>
        <v>5.1706999999999992</v>
      </c>
      <c r="K50" s="99">
        <f>G50+H50+I50+J50</f>
        <v>44.628489999999992</v>
      </c>
    </row>
    <row r="51" spans="1:11">
      <c r="A51" s="48">
        <v>740</v>
      </c>
      <c r="B51" s="34">
        <v>36</v>
      </c>
      <c r="C51" s="41" t="str">
        <f t="shared" si="27"/>
        <v>Truck Driver Dump</v>
      </c>
      <c r="D51" s="198">
        <f t="shared" si="28"/>
        <v>31.5</v>
      </c>
      <c r="E51" s="38">
        <f>IF('Mob Demob'!$J$2&lt;51,0,(IF('Mob Demob'!$J$2&lt;151,2,(IF('Mob Demob'!$J$2&lt;301,3,4)))))</f>
        <v>0</v>
      </c>
      <c r="F51" s="39">
        <f t="shared" si="29"/>
        <v>4.16</v>
      </c>
      <c r="G51" s="39">
        <f t="shared" si="30"/>
        <v>35.659999999999997</v>
      </c>
      <c r="H51" s="39">
        <f t="shared" si="31"/>
        <v>1.0697999999999999</v>
      </c>
      <c r="I51" s="39">
        <f t="shared" si="32"/>
        <v>2.7279899999999997</v>
      </c>
      <c r="J51" s="39">
        <f t="shared" si="33"/>
        <v>5.1706999999999992</v>
      </c>
      <c r="K51" s="99">
        <f>G51+H51+I51+J51</f>
        <v>44.628489999999992</v>
      </c>
    </row>
    <row r="52" spans="1:11">
      <c r="A52" s="48" t="s">
        <v>54</v>
      </c>
      <c r="B52" s="34">
        <v>39</v>
      </c>
      <c r="C52" s="41" t="str">
        <f t="shared" si="27"/>
        <v>Truck Driver Dump</v>
      </c>
      <c r="D52" s="198">
        <f t="shared" si="28"/>
        <v>31.5</v>
      </c>
      <c r="E52" s="38">
        <f>IF('Mob Demob'!$J$2&lt;51,0,(IF('Mob Demob'!$J$2&lt;151,2,(IF('Mob Demob'!$J$2&lt;301,3,4)))))</f>
        <v>0</v>
      </c>
      <c r="F52" s="39">
        <f t="shared" si="29"/>
        <v>4.16</v>
      </c>
      <c r="G52" s="39">
        <f t="shared" si="30"/>
        <v>35.659999999999997</v>
      </c>
      <c r="H52" s="39">
        <f t="shared" si="31"/>
        <v>1.0697999999999999</v>
      </c>
      <c r="I52" s="39">
        <f t="shared" si="32"/>
        <v>2.7279899999999997</v>
      </c>
      <c r="J52" s="39">
        <f t="shared" si="33"/>
        <v>5.1706999999999992</v>
      </c>
      <c r="K52" s="99">
        <f t="shared" si="4"/>
        <v>44.628489999999992</v>
      </c>
    </row>
    <row r="53" spans="1:11">
      <c r="A53" s="48" t="s">
        <v>55</v>
      </c>
      <c r="B53" s="34">
        <v>80</v>
      </c>
      <c r="C53" s="41" t="str">
        <f t="shared" si="27"/>
        <v>Truck Driver Dump</v>
      </c>
      <c r="D53" s="198">
        <f t="shared" si="28"/>
        <v>31.5</v>
      </c>
      <c r="E53" s="38">
        <f>IF('Mob Demob'!$J$2&lt;51,0,(IF('Mob Demob'!$J$2&lt;151,2,(IF('Mob Demob'!$J$2&lt;301,3,4)))))</f>
        <v>0</v>
      </c>
      <c r="F53" s="39">
        <f t="shared" si="29"/>
        <v>4.16</v>
      </c>
      <c r="G53" s="39">
        <f t="shared" si="30"/>
        <v>35.659999999999997</v>
      </c>
      <c r="H53" s="39">
        <f t="shared" si="31"/>
        <v>1.0697999999999999</v>
      </c>
      <c r="I53" s="39">
        <f t="shared" si="32"/>
        <v>2.7279899999999997</v>
      </c>
      <c r="J53" s="39">
        <f t="shared" si="33"/>
        <v>5.1706999999999992</v>
      </c>
      <c r="K53" s="99">
        <f t="shared" si="4"/>
        <v>44.628489999999992</v>
      </c>
    </row>
    <row r="54" spans="1:11">
      <c r="A54" s="44" t="s">
        <v>56</v>
      </c>
      <c r="B54" s="34">
        <v>16</v>
      </c>
      <c r="C54" s="41" t="str">
        <f t="shared" si="27"/>
        <v>Truck Driver Dump</v>
      </c>
      <c r="D54" s="198">
        <f t="shared" si="28"/>
        <v>31.5</v>
      </c>
      <c r="E54" s="38">
        <f>IF('Mob Demob'!$J$2&lt;51,0,(IF('Mob Demob'!$J$2&lt;151,2,(IF('Mob Demob'!$J$2&lt;301,3,4)))))</f>
        <v>0</v>
      </c>
      <c r="F54" s="39">
        <f t="shared" si="29"/>
        <v>4.16</v>
      </c>
      <c r="G54" s="39">
        <f t="shared" si="30"/>
        <v>35.659999999999997</v>
      </c>
      <c r="H54" s="39">
        <f t="shared" si="31"/>
        <v>1.0697999999999999</v>
      </c>
      <c r="I54" s="39">
        <f t="shared" si="32"/>
        <v>2.7279899999999997</v>
      </c>
      <c r="J54" s="39">
        <f t="shared" si="33"/>
        <v>5.1706999999999992</v>
      </c>
      <c r="K54" s="99">
        <f t="shared" si="4"/>
        <v>44.628489999999992</v>
      </c>
    </row>
    <row r="55" spans="1:11">
      <c r="A55" s="44" t="s">
        <v>57</v>
      </c>
      <c r="B55" s="34">
        <v>40</v>
      </c>
      <c r="C55" s="41" t="str">
        <f t="shared" si="27"/>
        <v>Truck Driver Dump</v>
      </c>
      <c r="D55" s="198">
        <f t="shared" si="28"/>
        <v>31.5</v>
      </c>
      <c r="E55" s="38">
        <f>IF('Mob Demob'!$J$2&lt;51,0,(IF('Mob Demob'!$J$2&lt;151,2,(IF('Mob Demob'!$J$2&lt;301,3,4)))))</f>
        <v>0</v>
      </c>
      <c r="F55" s="39">
        <f t="shared" si="29"/>
        <v>4.16</v>
      </c>
      <c r="G55" s="39">
        <f t="shared" si="30"/>
        <v>35.659999999999997</v>
      </c>
      <c r="H55" s="39">
        <f t="shared" si="31"/>
        <v>1.0697999999999999</v>
      </c>
      <c r="I55" s="39">
        <f t="shared" si="32"/>
        <v>2.7279899999999997</v>
      </c>
      <c r="J55" s="39">
        <f t="shared" si="33"/>
        <v>5.1706999999999992</v>
      </c>
      <c r="K55" s="99">
        <f t="shared" si="4"/>
        <v>44.628489999999992</v>
      </c>
    </row>
    <row r="56" spans="1:11" ht="26.25" thickBot="1">
      <c r="A56" s="53" t="s">
        <v>58</v>
      </c>
      <c r="B56" s="34" t="s">
        <v>88</v>
      </c>
      <c r="C56" s="41" t="str">
        <f t="shared" si="27"/>
        <v>Truck Driver Dump</v>
      </c>
      <c r="D56" s="198">
        <f t="shared" si="28"/>
        <v>31.5</v>
      </c>
      <c r="E56" s="38">
        <f>IF('Mob Demob'!$J$2&lt;51,0,(IF('Mob Demob'!$J$2&lt;151,2,(IF('Mob Demob'!$J$2&lt;301,3,4)))))</f>
        <v>0</v>
      </c>
      <c r="F56" s="39">
        <f t="shared" si="29"/>
        <v>4.16</v>
      </c>
      <c r="G56" s="39">
        <f t="shared" si="30"/>
        <v>35.659999999999997</v>
      </c>
      <c r="H56" s="39">
        <f t="shared" si="31"/>
        <v>1.0697999999999999</v>
      </c>
      <c r="I56" s="39">
        <f t="shared" si="32"/>
        <v>2.7279899999999997</v>
      </c>
      <c r="J56" s="39">
        <f t="shared" si="33"/>
        <v>5.1706999999999992</v>
      </c>
      <c r="K56" s="99">
        <f t="shared" si="4"/>
        <v>44.628489999999992</v>
      </c>
    </row>
    <row r="57" spans="1:11" ht="15" thickBot="1">
      <c r="A57" s="192" t="s">
        <v>59</v>
      </c>
      <c r="B57" s="62"/>
      <c r="C57" s="64"/>
      <c r="D57" s="64"/>
      <c r="E57" s="64"/>
      <c r="F57" s="64"/>
      <c r="G57" s="64"/>
      <c r="H57" s="64"/>
      <c r="I57" s="64"/>
      <c r="J57" s="64"/>
      <c r="K57" s="100"/>
    </row>
    <row r="58" spans="1:11" ht="25.5">
      <c r="A58" s="84" t="s">
        <v>60</v>
      </c>
      <c r="B58" s="34">
        <v>8</v>
      </c>
      <c r="C58" s="41" t="str">
        <f>$C$7</f>
        <v>Truck Driver Dump</v>
      </c>
      <c r="D58" s="198">
        <f t="shared" ref="D58:D62" si="34">$D$7</f>
        <v>31.5</v>
      </c>
      <c r="E58" s="38">
        <f>IF('Mob Demob'!$J$2&lt;51,0,(IF('Mob Demob'!$J$2&lt;151,2,(IF('Mob Demob'!$J$2&lt;301,3,4)))))</f>
        <v>0</v>
      </c>
      <c r="F58" s="39">
        <f t="shared" ref="F58" si="35">$F$7</f>
        <v>4.16</v>
      </c>
      <c r="G58" s="39">
        <f>D58+E58+F58</f>
        <v>35.659999999999997</v>
      </c>
      <c r="H58" s="39">
        <f>H$5*G58</f>
        <v>1.0697999999999999</v>
      </c>
      <c r="I58" s="39">
        <f>I$5*G58</f>
        <v>2.7279899999999997</v>
      </c>
      <c r="J58" s="39">
        <f>$J$5*G58</f>
        <v>5.1706999999999992</v>
      </c>
      <c r="K58" s="99">
        <f>G58+H58+I58+J58</f>
        <v>44.628489999999992</v>
      </c>
    </row>
    <row r="59" spans="1:11" ht="25.5">
      <c r="A59" s="85" t="s">
        <v>61</v>
      </c>
      <c r="B59" s="34" t="s">
        <v>88</v>
      </c>
      <c r="C59" s="41" t="str">
        <f>C38</f>
        <v>Labor 1</v>
      </c>
      <c r="D59" s="39">
        <f>$D$37</f>
        <v>32.450000000000003</v>
      </c>
      <c r="E59" s="38">
        <f>IF('Mob Demob'!$J$2&lt;51,0,(IF('Mob Demob'!$J$2&lt;151,2,(IF('Mob Demob'!$J$2&lt;301,3,4)))))</f>
        <v>0</v>
      </c>
      <c r="F59" s="39">
        <f>$F$37</f>
        <v>15.7</v>
      </c>
      <c r="G59" s="39">
        <f>D59+E59+F59</f>
        <v>48.150000000000006</v>
      </c>
      <c r="H59" s="39">
        <f>H$5*G59</f>
        <v>1.4445000000000001</v>
      </c>
      <c r="I59" s="39">
        <f>I$5*G59</f>
        <v>3.6834750000000005</v>
      </c>
      <c r="J59" s="39">
        <f>$J$5*G59</f>
        <v>6.9817499999999999</v>
      </c>
      <c r="K59" s="99">
        <f>G59+H59+I59+J59</f>
        <v>60.259725000000003</v>
      </c>
    </row>
    <row r="60" spans="1:11" ht="25.5">
      <c r="A60" s="86" t="s">
        <v>62</v>
      </c>
      <c r="B60" s="34" t="s">
        <v>88</v>
      </c>
      <c r="C60" s="41" t="str">
        <f t="shared" ref="C60:C62" si="36">$C$7</f>
        <v>Truck Driver Dump</v>
      </c>
      <c r="D60" s="198">
        <f t="shared" si="34"/>
        <v>31.5</v>
      </c>
      <c r="E60" s="38">
        <f>IF('Mob Demob'!$J$2&lt;51,0,(IF('Mob Demob'!$J$2&lt;151,2,(IF('Mob Demob'!$J$2&lt;301,3,4)))))</f>
        <v>0</v>
      </c>
      <c r="F60" s="39">
        <f t="shared" ref="F60:F62" si="37">$F$7</f>
        <v>4.16</v>
      </c>
      <c r="G60" s="39">
        <f>D60+E60+F60</f>
        <v>35.659999999999997</v>
      </c>
      <c r="H60" s="39">
        <f>H$5*G60</f>
        <v>1.0697999999999999</v>
      </c>
      <c r="I60" s="39">
        <f>I$5*G60</f>
        <v>2.7279899999999997</v>
      </c>
      <c r="J60" s="39">
        <f>$J$5*G60</f>
        <v>5.1706999999999992</v>
      </c>
      <c r="K60" s="99">
        <f>G60+H60+I60+J60</f>
        <v>44.628489999999992</v>
      </c>
    </row>
    <row r="61" spans="1:11" ht="25.5">
      <c r="A61" s="86" t="s">
        <v>63</v>
      </c>
      <c r="B61" s="34" t="s">
        <v>88</v>
      </c>
      <c r="C61" s="41" t="str">
        <f t="shared" si="36"/>
        <v>Truck Driver Dump</v>
      </c>
      <c r="D61" s="198">
        <f t="shared" si="34"/>
        <v>31.5</v>
      </c>
      <c r="E61" s="38">
        <f>IF('Mob Demob'!$J$2&lt;51,0,(IF('Mob Demob'!$J$2&lt;151,2,(IF('Mob Demob'!$J$2&lt;301,3,4)))))</f>
        <v>0</v>
      </c>
      <c r="F61" s="39">
        <f t="shared" si="37"/>
        <v>4.16</v>
      </c>
      <c r="G61" s="39">
        <f>D61+E61+F61</f>
        <v>35.659999999999997</v>
      </c>
      <c r="H61" s="39">
        <f>H$5*G61</f>
        <v>1.0697999999999999</v>
      </c>
      <c r="I61" s="39">
        <f>I$5*G61</f>
        <v>2.7279899999999997</v>
      </c>
      <c r="J61" s="39">
        <f>$J$5*G61</f>
        <v>5.1706999999999992</v>
      </c>
      <c r="K61" s="99">
        <f>G61+H61+I61+J61</f>
        <v>44.628489999999992</v>
      </c>
    </row>
    <row r="62" spans="1:11" ht="26.25" thickBot="1">
      <c r="A62" s="53" t="s">
        <v>64</v>
      </c>
      <c r="B62" s="101" t="s">
        <v>88</v>
      </c>
      <c r="C62" s="197" t="str">
        <f t="shared" si="36"/>
        <v>Truck Driver Dump</v>
      </c>
      <c r="D62" s="199">
        <f t="shared" si="34"/>
        <v>31.5</v>
      </c>
      <c r="E62" s="102">
        <f>IF('Mob Demob'!$J$2&lt;51,0,(IF('Mob Demob'!$J$2&lt;151,2,(IF('Mob Demob'!$J$2&lt;301,3,4)))))</f>
        <v>0</v>
      </c>
      <c r="F62" s="103">
        <f t="shared" si="37"/>
        <v>4.16</v>
      </c>
      <c r="G62" s="103">
        <f>D62+E62+F62</f>
        <v>35.659999999999997</v>
      </c>
      <c r="H62" s="103">
        <f>H$5*G62</f>
        <v>1.0697999999999999</v>
      </c>
      <c r="I62" s="103">
        <f>I$5*G62</f>
        <v>2.7279899999999997</v>
      </c>
      <c r="J62" s="103">
        <f>$J$5*G62</f>
        <v>5.1706999999999992</v>
      </c>
      <c r="K62" s="104">
        <f>G62+H62+I62+J62</f>
        <v>44.628489999999992</v>
      </c>
    </row>
    <row r="64" spans="1:11" ht="15.75" customHeight="1">
      <c r="A64" s="196" t="s">
        <v>159</v>
      </c>
    </row>
  </sheetData>
  <sheetProtection algorithmName="SHA-512" hashValue="INGIX2vk06mu5sgNV+kgJnluZ41FUuyb7DmKfvGaRje+u4lQEfiD45XgBoz43ke6DGOsy2xpWAq/PXPAgIGQDQ==" saltValue="3k4mcJuaGgkxgXGUzVPJEg==" spinCount="100000" sheet="1" objects="1" scenarios="1"/>
  <protectedRanges>
    <protectedRange password="8CE6" sqref="D47:D48 D41:D42" name="EquipLabor_6"/>
  </protectedRanges>
  <mergeCells count="9">
    <mergeCell ref="A3:K3"/>
    <mergeCell ref="C4:C5"/>
    <mergeCell ref="D4:D5"/>
    <mergeCell ref="E4:E5"/>
    <mergeCell ref="F4:F5"/>
    <mergeCell ref="G4:G5"/>
    <mergeCell ref="K4:K5"/>
    <mergeCell ref="B4:B5"/>
    <mergeCell ref="A4:A5"/>
  </mergeCells>
  <phoneticPr fontId="27" type="noConversion"/>
  <pageMargins left="0.7" right="0.7" top="0.75" bottom="0.75" header="0.3" footer="0.3"/>
  <pageSetup scale="58" orientation="portrait" r:id="rId1"/>
  <rowBreaks count="1" manualBreakCount="1">
    <brk id="6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Mob Demob</vt:lpstr>
      <vt:lpstr>AssemblyDisassembly</vt:lpstr>
      <vt:lpstr>Pilot Car</vt:lpstr>
      <vt:lpstr>SRCE Eqipment</vt:lpstr>
      <vt:lpstr>RSM Equipment</vt:lpstr>
      <vt:lpstr>Davis-Bacon Wages</vt:lpstr>
      <vt:lpstr>AssemblyDisassembly!Print_Area</vt:lpstr>
      <vt:lpstr>'Davis-Bacon Wages'!Print_Area</vt:lpstr>
      <vt:lpstr>'Mob Demob'!Print_Area</vt:lpstr>
      <vt:lpstr>'RSM Equipment'!Print_Area</vt:lpstr>
      <vt:lpstr>'SRCE Eqipment'!Print_Area</vt:lpstr>
    </vt:vector>
  </TitlesOfParts>
  <Company>Bureau of Land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Bergwall</dc:creator>
  <cp:lastModifiedBy>Atkinson, Daniel M</cp:lastModifiedBy>
  <cp:lastPrinted>2022-07-29T16:35:50Z</cp:lastPrinted>
  <dcterms:created xsi:type="dcterms:W3CDTF">2008-08-04T16:49:52Z</dcterms:created>
  <dcterms:modified xsi:type="dcterms:W3CDTF">2024-08-02T14:24:53Z</dcterms:modified>
</cp:coreProperties>
</file>