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autoCompressPictures="0" defaultThemeVersion="124226"/>
  <xr:revisionPtr revIDLastSave="0" documentId="13_ncr:1_{DFC484D2-09FE-4133-A340-EBB64A06D67F}" xr6:coauthVersionLast="47" xr6:coauthVersionMax="47" xr10:uidLastSave="{00000000-0000-0000-0000-000000000000}"/>
  <bookViews>
    <workbookView xWindow="31245" yWindow="675" windowWidth="24630" windowHeight="14310" tabRatio="868" xr2:uid="{00000000-000D-0000-FFFF-FFFF00000000}"/>
  </bookViews>
  <sheets>
    <sheet name="Risk_Calculations" sheetId="4" r:id="rId1"/>
    <sheet name="IUR calculation" sheetId="10" r:id="rId2"/>
    <sheet name="PEF Construction Scenario" sheetId="5" r:id="rId3"/>
    <sheet name="PEF Off-Site Resident" sheetId="2" r:id="rId4"/>
    <sheet name="PEF Onsite Resident" sheetId="8" r:id="rId5"/>
    <sheet name="PEF Comm-Indust Worker" sheetId="3" r:id="rId6"/>
    <sheet name="QC Equation Constants" sheetId="6" r:id="rId7"/>
    <sheet name="Data and Analytical Sensitivity" sheetId="7" r:id="rId8"/>
    <sheet name="BCL Asbestos"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G5" i="7" l="1"/>
  <c r="I8" i="10"/>
  <c r="I10" i="10"/>
  <c r="I11" i="10"/>
  <c r="G8" i="10"/>
  <c r="J11" i="10"/>
  <c r="J10" i="10"/>
  <c r="H8" i="10"/>
  <c r="F8" i="10"/>
  <c r="J8" i="10"/>
  <c r="H11" i="10"/>
  <c r="F11" i="10"/>
  <c r="G11" i="10"/>
  <c r="H10" i="10"/>
  <c r="F10" i="10"/>
  <c r="G10" i="10"/>
  <c r="I13" i="10" l="1"/>
  <c r="J13" i="10"/>
  <c r="F9" i="9" s="1"/>
  <c r="H13" i="10"/>
  <c r="E9" i="9" s="1"/>
  <c r="F13" i="10"/>
  <c r="C9" i="9" s="1"/>
  <c r="G13" i="10"/>
  <c r="D9" i="9" s="1"/>
  <c r="C7" i="9"/>
  <c r="D7" i="9"/>
  <c r="E7" i="9"/>
  <c r="F7" i="9"/>
  <c r="B31" i="9"/>
  <c r="C31" i="9"/>
  <c r="D31" i="9"/>
  <c r="E31" i="9"/>
  <c r="F31" i="9"/>
  <c r="G31" i="9"/>
  <c r="C28" i="4"/>
  <c r="G8" i="7"/>
  <c r="C29" i="4" s="1"/>
  <c r="C31" i="4" s="1"/>
  <c r="D10" i="3"/>
  <c r="D13" i="3"/>
  <c r="D11" i="3"/>
  <c r="D12" i="3"/>
  <c r="D47" i="5"/>
  <c r="D38" i="5" s="1"/>
  <c r="D44" i="5"/>
  <c r="D62" i="5" s="1"/>
  <c r="D52" i="5"/>
  <c r="D10" i="5"/>
  <c r="D20" i="5"/>
  <c r="D51" i="2"/>
  <c r="D47" i="2" s="1"/>
  <c r="D30" i="2"/>
  <c r="D10" i="2"/>
  <c r="G10" i="2" s="1"/>
  <c r="D21" i="2"/>
  <c r="D37" i="2"/>
  <c r="D10" i="8"/>
  <c r="D13" i="8"/>
  <c r="D11" i="8"/>
  <c r="D12" i="8"/>
  <c r="E46" i="4"/>
  <c r="D46" i="4"/>
  <c r="D8" i="9" s="1"/>
  <c r="F46" i="4"/>
  <c r="E8" i="9" s="1"/>
  <c r="G46" i="4"/>
  <c r="F8" i="9" s="1"/>
  <c r="C46" i="4"/>
  <c r="D46" i="5" l="1"/>
  <c r="D9" i="3"/>
  <c r="D15" i="3" s="1"/>
  <c r="D16" i="3" s="1"/>
  <c r="C32" i="4"/>
  <c r="C8" i="9"/>
  <c r="D9" i="2"/>
  <c r="D4" i="2" s="1"/>
  <c r="D9" i="5"/>
  <c r="D14" i="5" s="1"/>
  <c r="D11" i="5" s="1"/>
  <c r="D9" i="8"/>
  <c r="D15" i="8" s="1"/>
  <c r="D16" i="8" s="1"/>
  <c r="D40" i="5"/>
  <c r="C30" i="4"/>
  <c r="D31" i="2"/>
  <c r="D29" i="2" s="1"/>
  <c r="D34" i="5"/>
  <c r="D32" i="5" s="1"/>
  <c r="G4" i="2" l="1"/>
  <c r="E48" i="4"/>
  <c r="F48" i="4"/>
  <c r="D23" i="2"/>
  <c r="D19" i="2" s="1"/>
  <c r="D15" i="2"/>
  <c r="D12" i="2" s="1"/>
  <c r="D24" i="5"/>
  <c r="D18" i="5" s="1"/>
  <c r="D51" i="5"/>
  <c r="D4" i="5"/>
  <c r="G48" i="4"/>
  <c r="D27" i="2"/>
  <c r="D25" i="2" s="1"/>
  <c r="D36" i="2"/>
  <c r="D43" i="2" s="1"/>
  <c r="D35" i="2" s="1"/>
  <c r="D30" i="5"/>
  <c r="D26" i="5" s="1"/>
  <c r="G49" i="4" l="1"/>
  <c r="E49" i="4"/>
  <c r="E10" i="9"/>
  <c r="E11" i="9" s="1"/>
  <c r="F49" i="4"/>
  <c r="D45" i="2"/>
  <c r="D53" i="2" s="1"/>
  <c r="D54" i="2" s="1"/>
  <c r="D37" i="5"/>
  <c r="D48" i="5" s="1"/>
  <c r="D60" i="5"/>
  <c r="D53" i="5"/>
  <c r="D59" i="5"/>
  <c r="E22" i="9" l="1"/>
  <c r="E18" i="9"/>
  <c r="E14" i="9"/>
  <c r="F20" i="4"/>
  <c r="F17" i="4" s="1"/>
  <c r="F21" i="4"/>
  <c r="F18" i="4" s="1"/>
  <c r="E21" i="4"/>
  <c r="E18" i="4" s="1"/>
  <c r="E20" i="4"/>
  <c r="E17" i="4" s="1"/>
  <c r="F10" i="9"/>
  <c r="F11" i="9" s="1"/>
  <c r="G21" i="4"/>
  <c r="G18" i="4" s="1"/>
  <c r="G20" i="4"/>
  <c r="G17" i="4" s="1"/>
  <c r="E19" i="9"/>
  <c r="E15" i="9"/>
  <c r="D66" i="5"/>
  <c r="D68" i="5" s="1"/>
  <c r="D69" i="5" s="1"/>
  <c r="E23" i="9"/>
  <c r="D48" i="4"/>
  <c r="D49" i="4" s="1"/>
  <c r="F22" i="9" l="1"/>
  <c r="F23" i="9" s="1"/>
  <c r="F14" i="9"/>
  <c r="F15" i="9" s="1"/>
  <c r="F18" i="9"/>
  <c r="F19" i="9" s="1"/>
  <c r="D20" i="4"/>
  <c r="D17" i="4" s="1"/>
  <c r="D21" i="4"/>
  <c r="D18" i="4" s="1"/>
  <c r="D10" i="9"/>
  <c r="D11" i="9" s="1"/>
  <c r="C48" i="4"/>
  <c r="D22" i="9" l="1"/>
  <c r="D14" i="9"/>
  <c r="D18" i="9"/>
  <c r="C49" i="4"/>
  <c r="C10" i="9" s="1"/>
  <c r="C11" i="9" s="1"/>
  <c r="C22" i="9" l="1"/>
  <c r="C14" i="9"/>
  <c r="C18" i="9"/>
  <c r="C21" i="4"/>
  <c r="C18" i="4" s="1"/>
  <c r="C20" i="4"/>
  <c r="C17" i="4" s="1"/>
  <c r="D23" i="9"/>
  <c r="D15" i="9"/>
  <c r="D19" i="9"/>
  <c r="C23" i="9" l="1"/>
  <c r="C19" i="9"/>
  <c r="C1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42" authorId="0" shapeId="0" xr:uid="{00000000-0006-0000-0000-000001000000}">
      <text>
        <r>
          <rPr>
            <b/>
            <sz val="10"/>
            <color indexed="81"/>
            <rFont val="Tahoma"/>
            <family val="2"/>
          </rPr>
          <t>Author:</t>
        </r>
        <r>
          <rPr>
            <sz val="10"/>
            <color indexed="81"/>
            <rFont val="Tahoma"/>
            <family val="2"/>
          </rPr>
          <t xml:space="preserve">
updated Jan 2015</t>
        </r>
      </text>
    </comment>
    <comment ref="G42" authorId="0" shapeId="0" xr:uid="{00000000-0006-0000-0000-000002000000}">
      <text>
        <r>
          <rPr>
            <b/>
            <sz val="10"/>
            <color indexed="81"/>
            <rFont val="Tahoma"/>
            <family val="2"/>
          </rPr>
          <t>Author:</t>
        </r>
        <r>
          <rPr>
            <sz val="10"/>
            <color indexed="81"/>
            <rFont val="Tahoma"/>
            <family val="2"/>
          </rPr>
          <t xml:space="preserve">
updated Jan 2015</t>
        </r>
      </text>
    </comment>
    <comment ref="D43" authorId="0" shapeId="0" xr:uid="{00000000-0006-0000-0000-000003000000}">
      <text>
        <r>
          <rPr>
            <b/>
            <sz val="10"/>
            <color indexed="81"/>
            <rFont val="Tahoma"/>
            <family val="2"/>
          </rPr>
          <t>Author:</t>
        </r>
        <r>
          <rPr>
            <sz val="10"/>
            <color indexed="81"/>
            <rFont val="Tahoma"/>
            <family val="2"/>
          </rPr>
          <t xml:space="preserve">
updated Jan 2015</t>
        </r>
      </text>
    </comment>
    <comment ref="G43" authorId="0" shapeId="0" xr:uid="{00000000-0006-0000-0000-000004000000}">
      <text>
        <r>
          <rPr>
            <b/>
            <sz val="10"/>
            <color indexed="81"/>
            <rFont val="Tahoma"/>
            <family val="2"/>
          </rPr>
          <t>Author:</t>
        </r>
        <r>
          <rPr>
            <sz val="10"/>
            <color indexed="81"/>
            <rFont val="Tahoma"/>
            <family val="2"/>
          </rPr>
          <t xml:space="preserve">
updated Jan 2015</t>
        </r>
      </text>
    </comment>
    <comment ref="D44" authorId="0" shapeId="0" xr:uid="{00000000-0006-0000-0000-000005000000}">
      <text>
        <r>
          <rPr>
            <b/>
            <sz val="10"/>
            <color indexed="81"/>
            <rFont val="Tahoma"/>
            <family val="2"/>
          </rPr>
          <t>Author:</t>
        </r>
        <r>
          <rPr>
            <sz val="10"/>
            <color indexed="81"/>
            <rFont val="Tahoma"/>
            <family val="2"/>
          </rPr>
          <t xml:space="preserve">
Updated Jan 2015</t>
        </r>
      </text>
    </comment>
    <comment ref="G44" authorId="0" shapeId="0" xr:uid="{00000000-0006-0000-0000-000006000000}">
      <text>
        <r>
          <rPr>
            <b/>
            <sz val="10"/>
            <color indexed="81"/>
            <rFont val="Tahoma"/>
            <family val="2"/>
          </rPr>
          <t>Author:</t>
        </r>
        <r>
          <rPr>
            <sz val="10"/>
            <color indexed="81"/>
            <rFont val="Tahoma"/>
            <family val="2"/>
          </rPr>
          <t xml:space="preserve">
Updated Jan 2015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38" authorId="0" shapeId="0" xr:uid="{00000000-0006-0000-0100-000001000000}">
      <text>
        <r>
          <rPr>
            <b/>
            <sz val="8"/>
            <color indexed="81"/>
            <rFont val="Tahoma"/>
            <family val="2"/>
          </rPr>
          <t>Author:</t>
        </r>
        <r>
          <rPr>
            <sz val="8"/>
            <color indexed="81"/>
            <rFont val="Tahoma"/>
            <family val="2"/>
          </rPr>
          <t xml:space="preserve">
The 'Particulate Matter Case Example' on pages E-26 through E-29 of EPA (2002) clarifiies that this time period reflects the amount of time during which activities will occur (only when construction workers are present) for Equation E-18 (PEF_sc_road) and Equation E-25 (J'_T).</t>
        </r>
      </text>
    </comment>
    <comment ref="D47" authorId="0" shapeId="0" xr:uid="{00000000-0006-0000-0100-000003000000}">
      <text>
        <r>
          <rPr>
            <b/>
            <sz val="8"/>
            <color indexed="81"/>
            <rFont val="Tahoma"/>
            <family val="2"/>
          </rPr>
          <t>Author:</t>
        </r>
        <r>
          <rPr>
            <sz val="8"/>
            <color indexed="81"/>
            <rFont val="Tahoma"/>
            <family val="2"/>
          </rPr>
          <t xml:space="preserve">
Equation E-16 for F_D is solved in the 'Particulate Matter Case Example' on pages E-26 through E-29 of EPA (2002) to show that this time period is the overall length of time during which construction occurs.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0" authorId="0" shapeId="0" xr:uid="{00000000-0006-0000-0200-000001000000}">
      <text>
        <r>
          <rPr>
            <b/>
            <sz val="8"/>
            <color indexed="81"/>
            <rFont val="Tahoma"/>
            <family val="2"/>
          </rPr>
          <t>Author:</t>
        </r>
        <r>
          <rPr>
            <sz val="8"/>
            <color indexed="81"/>
            <rFont val="Tahoma"/>
            <family val="2"/>
          </rPr>
          <t xml:space="preserve">
The equation reflects a total residential exposure duration, of which some part is related to the construction period.</t>
        </r>
      </text>
    </comment>
  </commentList>
</comments>
</file>

<file path=xl/sharedStrings.xml><?xml version="1.0" encoding="utf-8"?>
<sst xmlns="http://schemas.openxmlformats.org/spreadsheetml/2006/main" count="789" uniqueCount="436">
  <si>
    <t>Sample</t>
    <phoneticPr fontId="57" type="noConversion"/>
  </si>
  <si>
    <t>CALCULATION FOR POOLED ANALYTICAL SENSITIVITY</t>
    <phoneticPr fontId="57" type="noConversion"/>
  </si>
  <si>
    <t>PEF values are referenced to worksheet 'Risk_Calculations'.</t>
  </si>
  <si>
    <t>This is a planning worksheet to determine the number of asbestos samples needed to reach prescribed risk target levels.</t>
    <phoneticPr fontId="57" type="noConversion"/>
  </si>
  <si>
    <r>
      <t>VKT</t>
    </r>
    <r>
      <rPr>
        <vertAlign val="subscript"/>
        <sz val="10"/>
        <rFont val="Times New Roman"/>
        <family val="1"/>
      </rPr>
      <t>road</t>
    </r>
  </si>
  <si>
    <r>
      <t>Subchronic Dispersion Factor for road segment</t>
    </r>
    <r>
      <rPr>
        <b/>
        <vertAlign val="superscript"/>
        <sz val="10"/>
        <rFont val="Times New Roman"/>
        <family val="1"/>
      </rPr>
      <t>(22)</t>
    </r>
  </si>
  <si>
    <r>
      <t>Q/C</t>
    </r>
    <r>
      <rPr>
        <vertAlign val="subscript"/>
        <sz val="10"/>
        <rFont val="Times New Roman"/>
        <family val="1"/>
      </rPr>
      <t>sr</t>
    </r>
  </si>
  <si>
    <r>
      <t>Subchronic PEF for Unpaved Road Traffic</t>
    </r>
    <r>
      <rPr>
        <b/>
        <vertAlign val="superscript"/>
        <sz val="10"/>
        <rFont val="Times New Roman"/>
        <family val="1"/>
      </rPr>
      <t>(23)</t>
    </r>
  </si>
  <si>
    <r>
      <t>PEF</t>
    </r>
    <r>
      <rPr>
        <b/>
        <vertAlign val="subscript"/>
        <sz val="10"/>
        <rFont val="Times New Roman"/>
        <family val="1"/>
      </rPr>
      <t>sc_road</t>
    </r>
  </si>
  <si>
    <r>
      <t>m</t>
    </r>
    <r>
      <rPr>
        <vertAlign val="superscript"/>
        <sz val="11"/>
        <rFont val="Calibri"/>
        <family val="2"/>
      </rPr>
      <t>3</t>
    </r>
    <r>
      <rPr>
        <sz val="11"/>
        <rFont val="Calibri"/>
        <family val="2"/>
      </rPr>
      <t>/kg</t>
    </r>
  </si>
  <si>
    <r>
      <t>C</t>
    </r>
    <r>
      <rPr>
        <vertAlign val="subscript"/>
        <sz val="11"/>
        <color indexed="8"/>
        <rFont val="Calibri"/>
        <family val="2"/>
      </rPr>
      <t>soil</t>
    </r>
    <r>
      <rPr>
        <sz val="11"/>
        <color theme="1"/>
        <rFont val="Calibri"/>
        <family val="2"/>
        <scheme val="minor"/>
      </rPr>
      <t xml:space="preserve"> (best estimate)</t>
    </r>
  </si>
  <si>
    <r>
      <t>C</t>
    </r>
    <r>
      <rPr>
        <vertAlign val="subscript"/>
        <sz val="11"/>
        <color indexed="8"/>
        <rFont val="Calibri"/>
        <family val="2"/>
      </rPr>
      <t>soil</t>
    </r>
    <r>
      <rPr>
        <sz val="11"/>
        <color theme="1"/>
        <rFont val="Calibri"/>
        <family val="2"/>
        <scheme val="minor"/>
      </rPr>
      <t xml:space="preserve"> 95% UCL (upper bound)</t>
    </r>
  </si>
  <si>
    <r>
      <t>Areal Extent of site surface contamination</t>
    </r>
    <r>
      <rPr>
        <vertAlign val="superscript"/>
        <sz val="11"/>
        <rFont val="Calibri"/>
        <family val="2"/>
      </rPr>
      <t>(3)</t>
    </r>
  </si>
  <si>
    <r>
      <t>A</t>
    </r>
    <r>
      <rPr>
        <vertAlign val="subscript"/>
        <sz val="11"/>
        <rFont val="Calibri"/>
        <family val="2"/>
      </rPr>
      <t>surf</t>
    </r>
  </si>
  <si>
    <t>Input for Area is in worksheet 'Risk_Calculations'.</t>
  </si>
  <si>
    <t>Input for Area is in worksheet 'Risk_Calculations'.</t>
    <phoneticPr fontId="57" type="noConversion"/>
  </si>
  <si>
    <t>Offsite Residents scenario</t>
    <phoneticPr fontId="57" type="noConversion"/>
  </si>
  <si>
    <t>Commercial-Industrial and Onsite Residents scenarios</t>
    <phoneticPr fontId="57" type="noConversion"/>
  </si>
  <si>
    <t>For planning purposes it is reasonable to assume each sample has the same AS, in which case this simplification applies and is used directly in the minimum sample size calculations above.</t>
  </si>
  <si>
    <t xml:space="preserve">Note that the Pooled Analytical Sensitivity (pooled AS) formula, as depicted in Cell I6 in the Analytical Sensitivity Worksheet, reduces to sample AS/n when Analytical Sensitivity is the same for each sample.  </t>
    <phoneticPr fontId="57" type="noConversion"/>
  </si>
  <si>
    <t>Pooled Analytical Sensitivity</t>
  </si>
  <si>
    <t>A</t>
  </si>
  <si>
    <t>B</t>
  </si>
  <si>
    <t>C</t>
  </si>
  <si>
    <t>Units</t>
  </si>
  <si>
    <t>Parameter</t>
  </si>
  <si>
    <t>Value</t>
  </si>
  <si>
    <t>T</t>
  </si>
  <si>
    <t xml:space="preserve">Abbrev. </t>
  </si>
  <si>
    <t>Wind Erosion and Construction Activities</t>
  </si>
  <si>
    <r>
      <t>Fugitive dust from wind erosion</t>
    </r>
    <r>
      <rPr>
        <b/>
        <vertAlign val="superscript"/>
        <sz val="10"/>
        <rFont val="Times New Roman"/>
        <family val="1"/>
      </rPr>
      <t>(1)</t>
    </r>
  </si>
  <si>
    <r>
      <t>M</t>
    </r>
    <r>
      <rPr>
        <vertAlign val="subscript"/>
        <sz val="10"/>
        <rFont val="Times New Roman"/>
        <family val="1"/>
      </rPr>
      <t>wind</t>
    </r>
  </si>
  <si>
    <t>g</t>
  </si>
  <si>
    <t>Length of dozer blade</t>
  </si>
  <si>
    <r>
      <t>B</t>
    </r>
    <r>
      <rPr>
        <vertAlign val="subscript"/>
        <sz val="10"/>
        <rFont val="Times New Roman"/>
        <family val="1"/>
      </rPr>
      <t>d</t>
    </r>
  </si>
  <si>
    <r>
      <t>N</t>
    </r>
    <r>
      <rPr>
        <vertAlign val="subscript"/>
        <sz val="10"/>
        <rFont val="Times New Roman"/>
        <family val="1"/>
      </rPr>
      <t>doze</t>
    </r>
  </si>
  <si>
    <r>
      <t>(f/cm</t>
    </r>
    <r>
      <rPr>
        <vertAlign val="superscript"/>
        <sz val="11"/>
        <color theme="1"/>
        <rFont val="Calibri"/>
        <family val="2"/>
        <scheme val="minor"/>
      </rPr>
      <t>3</t>
    </r>
    <r>
      <rPr>
        <sz val="11"/>
        <color theme="1"/>
        <rFont val="Calibri"/>
        <family val="2"/>
        <scheme val="minor"/>
      </rPr>
      <t>)</t>
    </r>
    <r>
      <rPr>
        <vertAlign val="superscript"/>
        <sz val="11"/>
        <color indexed="8"/>
        <rFont val="Calibri"/>
        <family val="2"/>
      </rPr>
      <t>-1</t>
    </r>
  </si>
  <si>
    <t>Outdoor Worker</t>
  </si>
  <si>
    <t>Indoor Worker</t>
  </si>
  <si>
    <t>(8) This value can change based on site specific characteristics</t>
    <phoneticPr fontId="57" type="noConversion"/>
  </si>
  <si>
    <t>(4) Site area - this value can change based on site characteristics (change in the Risk_Calculations worksheet)</t>
    <phoneticPr fontId="57" type="noConversion"/>
  </si>
  <si>
    <t>%</t>
  </si>
  <si>
    <r>
      <t>Areal extent of site excavation</t>
    </r>
    <r>
      <rPr>
        <vertAlign val="superscript"/>
        <sz val="11.5"/>
        <rFont val="Times New Roman"/>
        <family val="1"/>
      </rPr>
      <t>(9)</t>
    </r>
  </si>
  <si>
    <r>
      <t>A</t>
    </r>
    <r>
      <rPr>
        <vertAlign val="subscript"/>
        <sz val="10"/>
        <rFont val="Times New Roman"/>
        <family val="1"/>
      </rPr>
      <t>excav</t>
    </r>
  </si>
  <si>
    <r>
      <t>d</t>
    </r>
    <r>
      <rPr>
        <vertAlign val="subscript"/>
        <sz val="10"/>
        <rFont val="Times New Roman"/>
        <family val="1"/>
      </rPr>
      <t>excav</t>
    </r>
  </si>
  <si>
    <t>m</t>
  </si>
  <si>
    <r>
      <t>Number of times soil is dumped</t>
    </r>
    <r>
      <rPr>
        <vertAlign val="superscript"/>
        <sz val="11.5"/>
        <rFont val="Times New Roman"/>
        <family val="1"/>
      </rPr>
      <t>(2)</t>
    </r>
  </si>
  <si>
    <r>
      <t>N</t>
    </r>
    <r>
      <rPr>
        <vertAlign val="subscript"/>
        <sz val="10"/>
        <rFont val="Times New Roman"/>
        <family val="1"/>
      </rPr>
      <t>A</t>
    </r>
  </si>
  <si>
    <r>
      <t>Fugitive dust from dozing</t>
    </r>
    <r>
      <rPr>
        <b/>
        <vertAlign val="superscript"/>
        <sz val="10"/>
        <rFont val="Times New Roman"/>
        <family val="1"/>
      </rPr>
      <t>(10)</t>
    </r>
  </si>
  <si>
    <r>
      <t>M</t>
    </r>
    <r>
      <rPr>
        <vertAlign val="subscript"/>
        <sz val="10"/>
        <rFont val="Times New Roman"/>
        <family val="1"/>
      </rPr>
      <t>doz</t>
    </r>
  </si>
  <si>
    <t>s</t>
  </si>
  <si>
    <r>
      <t>S</t>
    </r>
    <r>
      <rPr>
        <vertAlign val="subscript"/>
        <sz val="10"/>
        <rFont val="Times New Roman"/>
        <family val="1"/>
      </rPr>
      <t>doz</t>
    </r>
  </si>
  <si>
    <t>km/hr</t>
  </si>
  <si>
    <r>
      <t>Sum dozing kilometers traveled</t>
    </r>
    <r>
      <rPr>
        <vertAlign val="superscript"/>
        <sz val="10"/>
        <rFont val="Times New Roman"/>
        <family val="1"/>
      </rPr>
      <t>(11)</t>
    </r>
  </si>
  <si>
    <r>
      <t>VKT</t>
    </r>
    <r>
      <rPr>
        <vertAlign val="subscript"/>
        <sz val="10"/>
        <rFont val="Times New Roman"/>
        <family val="1"/>
      </rPr>
      <t>doz</t>
    </r>
  </si>
  <si>
    <t>km</t>
  </si>
  <si>
    <r>
      <t>Fugitive dust from grading</t>
    </r>
    <r>
      <rPr>
        <b/>
        <vertAlign val="superscript"/>
        <sz val="10"/>
        <rFont val="Times New Roman"/>
        <family val="1"/>
      </rPr>
      <t>(12)</t>
    </r>
  </si>
  <si>
    <r>
      <t>M</t>
    </r>
    <r>
      <rPr>
        <vertAlign val="subscript"/>
        <sz val="10"/>
        <rFont val="Times New Roman"/>
        <family val="1"/>
      </rPr>
      <t>grade</t>
    </r>
  </si>
  <si>
    <r>
      <t>S</t>
    </r>
    <r>
      <rPr>
        <vertAlign val="subscript"/>
        <sz val="10"/>
        <rFont val="Times New Roman"/>
        <family val="1"/>
      </rPr>
      <t>grade</t>
    </r>
  </si>
  <si>
    <r>
      <t>VKT</t>
    </r>
    <r>
      <rPr>
        <vertAlign val="subscript"/>
        <sz val="10"/>
        <rFont val="Times New Roman"/>
        <family val="1"/>
      </rPr>
      <t>grade</t>
    </r>
  </si>
  <si>
    <r>
      <t>Fugitive dust from tilling</t>
    </r>
    <r>
      <rPr>
        <b/>
        <vertAlign val="superscript"/>
        <sz val="10"/>
        <rFont val="Times New Roman"/>
        <family val="1"/>
      </rPr>
      <t>(13)</t>
    </r>
  </si>
  <si>
    <r>
      <t>M</t>
    </r>
    <r>
      <rPr>
        <vertAlign val="subscript"/>
        <sz val="10"/>
        <rFont val="Times New Roman"/>
        <family val="1"/>
      </rPr>
      <t>till</t>
    </r>
  </si>
  <si>
    <r>
      <t>Areal extent of site tilling</t>
    </r>
    <r>
      <rPr>
        <vertAlign val="superscript"/>
        <sz val="10"/>
        <rFont val="Times New Roman"/>
        <family val="1"/>
      </rPr>
      <t>(9)</t>
    </r>
  </si>
  <si>
    <r>
      <t>A</t>
    </r>
    <r>
      <rPr>
        <vertAlign val="subscript"/>
        <sz val="10"/>
        <rFont val="Times New Roman"/>
        <family val="1"/>
      </rPr>
      <t>till</t>
    </r>
  </si>
  <si>
    <t>acre</t>
  </si>
  <si>
    <r>
      <t xml:space="preserve">1 </t>
    </r>
    <r>
      <rPr>
        <sz val="9"/>
        <color indexed="8"/>
        <rFont val="Calibri"/>
        <family val="2"/>
      </rPr>
      <t>Inverse of the one-tailed probability of the chi-squared distribution. If probability = CHIDIST(x,...), then CHIINV(probability,...) = x.</t>
    </r>
  </si>
  <si>
    <t>Input for ED is in worksheet 'Risk_Calculations'.</t>
    <phoneticPr fontId="57" type="noConversion"/>
  </si>
  <si>
    <t>Inputs for ED are in worksheet 'Risk_Calculations'.</t>
    <phoneticPr fontId="57" type="noConversion"/>
  </si>
  <si>
    <t xml:space="preserve">Number of </t>
    <phoneticPr fontId="57" type="noConversion"/>
  </si>
  <si>
    <t xml:space="preserve">Dimensions of </t>
    <phoneticPr fontId="57" type="noConversion"/>
  </si>
  <si>
    <r>
      <t>m</t>
    </r>
    <r>
      <rPr>
        <b/>
        <vertAlign val="superscript"/>
        <sz val="10"/>
        <rFont val="Times New Roman"/>
        <family val="1"/>
      </rPr>
      <t>3</t>
    </r>
    <r>
      <rPr>
        <b/>
        <sz val="10"/>
        <rFont val="Times New Roman"/>
        <family val="1"/>
      </rPr>
      <t>/kg</t>
    </r>
  </si>
  <si>
    <t>Unpaved Road Traffic</t>
  </si>
  <si>
    <r>
      <t>Length of road segment</t>
    </r>
    <r>
      <rPr>
        <vertAlign val="superscript"/>
        <sz val="10"/>
        <rFont val="Times New Roman"/>
        <family val="1"/>
      </rPr>
      <t>(18)</t>
    </r>
  </si>
  <si>
    <r>
      <t>L</t>
    </r>
    <r>
      <rPr>
        <vertAlign val="subscript"/>
        <sz val="10"/>
        <rFont val="Times New Roman"/>
        <family val="1"/>
      </rPr>
      <t>R</t>
    </r>
  </si>
  <si>
    <r>
      <t>Width of road segment</t>
    </r>
    <r>
      <rPr>
        <vertAlign val="superscript"/>
        <sz val="10"/>
        <rFont val="Times New Roman"/>
        <family val="1"/>
      </rPr>
      <t>(2)</t>
    </r>
  </si>
  <si>
    <r>
      <t>W</t>
    </r>
    <r>
      <rPr>
        <vertAlign val="subscript"/>
        <sz val="10"/>
        <rFont val="Times New Roman"/>
        <family val="1"/>
      </rPr>
      <t>R</t>
    </r>
  </si>
  <si>
    <r>
      <t>A</t>
    </r>
    <r>
      <rPr>
        <vertAlign val="subscript"/>
        <sz val="10"/>
        <rFont val="Times New Roman"/>
        <family val="1"/>
      </rPr>
      <t>R</t>
    </r>
  </si>
  <si>
    <r>
      <t>Mean vehicle weight</t>
    </r>
    <r>
      <rPr>
        <vertAlign val="superscript"/>
        <sz val="10"/>
        <rFont val="Times New Roman"/>
        <family val="1"/>
      </rPr>
      <t>(2)</t>
    </r>
  </si>
  <si>
    <t>W</t>
  </si>
  <si>
    <t>tons</t>
  </si>
  <si>
    <r>
      <t>Percent moisture in dry road surface</t>
    </r>
    <r>
      <rPr>
        <vertAlign val="superscript"/>
        <sz val="10"/>
        <rFont val="Times New Roman"/>
        <family val="1"/>
      </rPr>
      <t>(20)</t>
    </r>
  </si>
  <si>
    <t>p</t>
  </si>
  <si>
    <t>days</t>
  </si>
  <si>
    <r>
      <rPr>
        <b/>
        <sz val="10"/>
        <rFont val="Times New Roman"/>
        <family val="1"/>
      </rPr>
      <t>D</t>
    </r>
    <r>
      <rPr>
        <b/>
        <vertAlign val="subscript"/>
        <sz val="10"/>
        <rFont val="Times New Roman"/>
        <family val="1"/>
      </rPr>
      <t>OFF</t>
    </r>
  </si>
  <si>
    <r>
      <t>D</t>
    </r>
    <r>
      <rPr>
        <b/>
        <vertAlign val="subscript"/>
        <sz val="10"/>
        <rFont val="Times New Roman"/>
        <family val="1"/>
      </rPr>
      <t>worker</t>
    </r>
  </si>
  <si>
    <r>
      <t>D</t>
    </r>
    <r>
      <rPr>
        <b/>
        <vertAlign val="subscript"/>
        <sz val="10"/>
        <rFont val="Times New Roman"/>
        <family val="1"/>
      </rPr>
      <t>construct</t>
    </r>
  </si>
  <si>
    <t>(5) Construction worker ED</t>
  </si>
  <si>
    <t>Office of Solid Waste and Emergency Response, Washington, DC. OSWER 9355.4-24. December.</t>
  </si>
  <si>
    <r>
      <t>Indoor Attenuation Factor (Att</t>
    </r>
    <r>
      <rPr>
        <vertAlign val="subscript"/>
        <sz val="11"/>
        <color indexed="8"/>
        <rFont val="Calibri"/>
        <family val="2"/>
      </rPr>
      <t>in</t>
    </r>
    <r>
      <rPr>
        <sz val="11"/>
        <color theme="1"/>
        <rFont val="Calibri"/>
        <family val="2"/>
        <scheme val="minor"/>
      </rPr>
      <t>)</t>
    </r>
  </si>
  <si>
    <t>hrs/day</t>
  </si>
  <si>
    <r>
      <t>Onsite Residential PEF</t>
    </r>
    <r>
      <rPr>
        <b/>
        <vertAlign val="superscript"/>
        <sz val="10"/>
        <rFont val="Times New Roman"/>
        <family val="1"/>
      </rPr>
      <t>(5)</t>
    </r>
  </si>
  <si>
    <t>Duration of construction (time period during which construction activities occur)</t>
  </si>
  <si>
    <r>
      <t>t</t>
    </r>
    <r>
      <rPr>
        <vertAlign val="subscript"/>
        <sz val="10"/>
        <rFont val="Times New Roman"/>
        <family val="1"/>
      </rPr>
      <t>c</t>
    </r>
  </si>
  <si>
    <t>hr</t>
  </si>
  <si>
    <t>Number of times area is dozed</t>
  </si>
  <si>
    <t>Number of times area is graded</t>
  </si>
  <si>
    <r>
      <t>N</t>
    </r>
    <r>
      <rPr>
        <vertAlign val="subscript"/>
        <sz val="10"/>
        <rFont val="Times New Roman"/>
        <family val="1"/>
      </rPr>
      <t>grade</t>
    </r>
  </si>
  <si>
    <t>Length of grading blade</t>
  </si>
  <si>
    <r>
      <t>B</t>
    </r>
    <r>
      <rPr>
        <vertAlign val="subscript"/>
        <sz val="10"/>
        <rFont val="Times New Roman"/>
        <family val="1"/>
      </rPr>
      <t>g</t>
    </r>
  </si>
  <si>
    <r>
      <t xml:space="preserve">                                                                                 </t>
    </r>
    <r>
      <rPr>
        <sz val="9.5"/>
        <rFont val="Times New Roman"/>
        <family val="1"/>
      </rPr>
      <t xml:space="preserve"> {[2.6</t>
    </r>
    <r>
      <rPr>
        <sz val="9.5"/>
        <rFont val="Symbol"/>
        <family val="1"/>
      </rPr>
      <t xml:space="preserve"> ´ </t>
    </r>
    <r>
      <rPr>
        <sz val="9.5"/>
        <rFont val="Times New Roman"/>
        <family val="1"/>
      </rPr>
      <t>(s/12)</t>
    </r>
    <r>
      <rPr>
        <vertAlign val="superscript"/>
        <sz val="9.5"/>
        <rFont val="Times New Roman"/>
        <family val="1"/>
      </rPr>
      <t>0.8</t>
    </r>
    <r>
      <rPr>
        <sz val="9.5"/>
        <rFont val="Times New Roman"/>
        <family val="1"/>
      </rPr>
      <t xml:space="preserve"> </t>
    </r>
    <r>
      <rPr>
        <sz val="9.5"/>
        <rFont val="Symbol"/>
        <family val="1"/>
      </rPr>
      <t>´</t>
    </r>
    <r>
      <rPr>
        <sz val="9.5"/>
        <rFont val="Times New Roman"/>
        <family val="1"/>
      </rPr>
      <t xml:space="preserve"> (W/3)</t>
    </r>
    <r>
      <rPr>
        <vertAlign val="superscript"/>
        <sz val="9.5"/>
        <rFont val="Times New Roman"/>
        <family val="1"/>
      </rPr>
      <t>0.4</t>
    </r>
    <r>
      <rPr>
        <sz val="9.5"/>
        <rFont val="Times New Roman"/>
        <family val="1"/>
      </rPr>
      <t>/(M/0.2)</t>
    </r>
    <r>
      <rPr>
        <vertAlign val="superscript"/>
        <sz val="9.5"/>
        <rFont val="Times New Roman"/>
        <family val="1"/>
      </rPr>
      <t>0.3</t>
    </r>
    <r>
      <rPr>
        <sz val="9.5"/>
        <rFont val="Times New Roman"/>
        <family val="1"/>
      </rPr>
      <t xml:space="preserve">] </t>
    </r>
    <r>
      <rPr>
        <sz val="9.5"/>
        <rFont val="Symbol"/>
        <family val="1"/>
      </rPr>
      <t>´</t>
    </r>
    <r>
      <rPr>
        <sz val="9.5"/>
        <rFont val="Times New Roman"/>
        <family val="1"/>
      </rPr>
      <t xml:space="preserve"> [(365-p)/365] </t>
    </r>
    <r>
      <rPr>
        <sz val="9.5"/>
        <rFont val="Symbol"/>
        <family val="1"/>
      </rPr>
      <t>´</t>
    </r>
    <r>
      <rPr>
        <sz val="9.5"/>
        <rFont val="Times New Roman"/>
        <family val="1"/>
      </rPr>
      <t xml:space="preserve"> 281.9 </t>
    </r>
    <r>
      <rPr>
        <sz val="9.5"/>
        <rFont val="Symbol"/>
        <family val="1"/>
      </rPr>
      <t>´</t>
    </r>
    <r>
      <rPr>
        <sz val="9.5"/>
        <rFont val="Times New Roman"/>
        <family val="1"/>
      </rPr>
      <t xml:space="preserve"> </t>
    </r>
    <r>
      <rPr>
        <sz val="9.5"/>
        <rFont val="Arial"/>
        <family val="2"/>
      </rPr>
      <t>∑</t>
    </r>
    <r>
      <rPr>
        <sz val="9.5"/>
        <rFont val="Times New Roman"/>
        <family val="1"/>
      </rPr>
      <t>VKT</t>
    </r>
    <r>
      <rPr>
        <vertAlign val="subscript"/>
        <sz val="9.5"/>
        <rFont val="Times New Roman"/>
        <family val="1"/>
      </rPr>
      <t>road</t>
    </r>
    <r>
      <rPr>
        <sz val="9.5"/>
        <rFont val="Times New Roman"/>
        <family val="1"/>
      </rPr>
      <t>}.</t>
    </r>
  </si>
  <si>
    <r>
      <t>(24) PEF</t>
    </r>
    <r>
      <rPr>
        <vertAlign val="subscript"/>
        <sz val="9.5"/>
        <rFont val="Times New Roman"/>
        <family val="1"/>
      </rPr>
      <t>sc_total</t>
    </r>
    <r>
      <rPr>
        <sz val="9.5"/>
        <rFont val="Times New Roman"/>
        <family val="1"/>
      </rPr>
      <t xml:space="preserve"> = {1/[(1/PEF</t>
    </r>
    <r>
      <rPr>
        <vertAlign val="subscript"/>
        <sz val="9.5"/>
        <rFont val="Times New Roman"/>
        <family val="1"/>
      </rPr>
      <t>sc</t>
    </r>
    <r>
      <rPr>
        <sz val="9.5"/>
        <rFont val="Times New Roman"/>
        <family val="1"/>
      </rPr>
      <t>)+(1/PEF</t>
    </r>
    <r>
      <rPr>
        <vertAlign val="subscript"/>
        <sz val="9.5"/>
        <rFont val="Times New Roman"/>
        <family val="1"/>
      </rPr>
      <t>sc_road</t>
    </r>
    <r>
      <rPr>
        <sz val="9.5"/>
        <rFont val="Times New Roman"/>
        <family val="1"/>
      </rPr>
      <t>)]}.</t>
    </r>
  </si>
  <si>
    <r>
      <t>ED</t>
    </r>
    <r>
      <rPr>
        <vertAlign val="subscript"/>
        <sz val="10"/>
        <rFont val="Times New Roman"/>
        <family val="1"/>
      </rPr>
      <t>OFF</t>
    </r>
  </si>
  <si>
    <r>
      <t>V</t>
    </r>
    <r>
      <rPr>
        <vertAlign val="subscript"/>
        <sz val="10"/>
        <rFont val="Times New Roman"/>
        <family val="1"/>
      </rPr>
      <t>OFF</t>
    </r>
  </si>
  <si>
    <r>
      <t>Air Dispersion Factor for Area Source</t>
    </r>
    <r>
      <rPr>
        <b/>
        <vertAlign val="superscript"/>
        <sz val="10"/>
        <rFont val="Times New Roman"/>
        <family val="1"/>
      </rPr>
      <t>(15)</t>
    </r>
  </si>
  <si>
    <r>
      <t>F</t>
    </r>
    <r>
      <rPr>
        <b/>
        <vertAlign val="subscript"/>
        <sz val="10"/>
        <rFont val="Times New Roman"/>
        <family val="1"/>
      </rPr>
      <t>D</t>
    </r>
  </si>
  <si>
    <r>
      <t>Q/C</t>
    </r>
    <r>
      <rPr>
        <b/>
        <vertAlign val="subscript"/>
        <sz val="10"/>
        <rFont val="Times New Roman"/>
        <family val="1"/>
      </rPr>
      <t>sa</t>
    </r>
  </si>
  <si>
    <r>
      <t>g/m</t>
    </r>
    <r>
      <rPr>
        <b/>
        <vertAlign val="superscript"/>
        <sz val="10"/>
        <rFont val="Times New Roman"/>
        <family val="1"/>
      </rPr>
      <t>2</t>
    </r>
    <r>
      <rPr>
        <b/>
        <sz val="10"/>
        <rFont val="Times New Roman"/>
        <family val="1"/>
      </rPr>
      <t>-sec per kg/m</t>
    </r>
    <r>
      <rPr>
        <b/>
        <vertAlign val="superscript"/>
        <sz val="10"/>
        <rFont val="Times New Roman"/>
        <family val="1"/>
      </rPr>
      <t>3</t>
    </r>
  </si>
  <si>
    <r>
      <t>J'</t>
    </r>
    <r>
      <rPr>
        <b/>
        <vertAlign val="subscript"/>
        <sz val="10"/>
        <rFont val="Times New Roman"/>
        <family val="1"/>
      </rPr>
      <t>T</t>
    </r>
  </si>
  <si>
    <r>
      <t>M</t>
    </r>
    <r>
      <rPr>
        <b/>
        <vertAlign val="subscript"/>
        <sz val="10"/>
        <rFont val="Times New Roman"/>
        <family val="1"/>
      </rPr>
      <t>road</t>
    </r>
  </si>
  <si>
    <r>
      <t>M</t>
    </r>
    <r>
      <rPr>
        <b/>
        <vertAlign val="subscript"/>
        <sz val="10"/>
        <rFont val="Times New Roman"/>
        <family val="1"/>
      </rPr>
      <t>till</t>
    </r>
  </si>
  <si>
    <r>
      <t>M</t>
    </r>
    <r>
      <rPr>
        <b/>
        <vertAlign val="subscript"/>
        <sz val="10"/>
        <rFont val="Times New Roman"/>
        <family val="1"/>
      </rPr>
      <t>grade</t>
    </r>
  </si>
  <si>
    <r>
      <t>M</t>
    </r>
    <r>
      <rPr>
        <b/>
        <vertAlign val="subscript"/>
        <sz val="10"/>
        <rFont val="Times New Roman"/>
        <family val="1"/>
      </rPr>
      <t>doz</t>
    </r>
  </si>
  <si>
    <r>
      <t>M</t>
    </r>
    <r>
      <rPr>
        <b/>
        <vertAlign val="subscript"/>
        <sz val="10"/>
        <rFont val="Times New Roman"/>
        <family val="1"/>
      </rPr>
      <t>excav</t>
    </r>
  </si>
  <si>
    <r>
      <t>M</t>
    </r>
    <r>
      <rPr>
        <b/>
        <vertAlign val="subscript"/>
        <sz val="10"/>
        <rFont val="Times New Roman"/>
        <family val="1"/>
      </rPr>
      <t>wind</t>
    </r>
  </si>
  <si>
    <r>
      <t>M</t>
    </r>
    <r>
      <rPr>
        <b/>
        <vertAlign val="subscript"/>
        <sz val="10"/>
        <rFont val="Times New Roman"/>
        <family val="1"/>
      </rPr>
      <t>windPC</t>
    </r>
  </si>
  <si>
    <r>
      <t>PEF</t>
    </r>
    <r>
      <rPr>
        <b/>
        <vertAlign val="subscript"/>
        <sz val="10"/>
        <rFont val="Times New Roman"/>
        <family val="1"/>
      </rPr>
      <t>OFF</t>
    </r>
  </si>
  <si>
    <t>ESTIMATED AIR CONCENTRATIONS</t>
  </si>
  <si>
    <t>Estimated Risk (Total Structures)</t>
  </si>
  <si>
    <t>95% UCL (Total Structures)</t>
  </si>
  <si>
    <r>
      <t>Estimated Airborne Concentration (upper bound)</t>
    </r>
    <r>
      <rPr>
        <vertAlign val="superscript"/>
        <sz val="12"/>
        <color indexed="8"/>
        <rFont val="Calibri"/>
        <family val="2"/>
      </rPr>
      <t>B</t>
    </r>
  </si>
  <si>
    <r>
      <t>A</t>
    </r>
    <r>
      <rPr>
        <i/>
        <sz val="12"/>
        <color indexed="8"/>
        <rFont val="Calibri"/>
        <family val="2"/>
      </rPr>
      <t xml:space="preserve"> Estimated Airborne Concentration = Estimated C</t>
    </r>
    <r>
      <rPr>
        <i/>
        <vertAlign val="subscript"/>
        <sz val="12"/>
        <color indexed="8"/>
        <rFont val="Calibri"/>
        <family val="2"/>
      </rPr>
      <t>soil</t>
    </r>
    <r>
      <rPr>
        <i/>
        <sz val="12"/>
        <color indexed="8"/>
        <rFont val="Calibri"/>
        <family val="2"/>
      </rPr>
      <t xml:space="preserve"> * 1/PEF</t>
    </r>
  </si>
  <si>
    <r>
      <t>B</t>
    </r>
    <r>
      <rPr>
        <i/>
        <sz val="12"/>
        <color indexed="8"/>
        <rFont val="Calibri"/>
        <family val="2"/>
      </rPr>
      <t xml:space="preserve"> Estimated Airborne Concentration = 95% UCL (upper bound) * 1/PEF</t>
    </r>
  </si>
  <si>
    <r>
      <t>Estimated Airborne Concentration, C</t>
    </r>
    <r>
      <rPr>
        <vertAlign val="subscript"/>
        <sz val="12"/>
        <color indexed="8"/>
        <rFont val="Calibri"/>
        <family val="2"/>
      </rPr>
      <t>air</t>
    </r>
    <r>
      <rPr>
        <sz val="12"/>
        <color indexed="8"/>
        <rFont val="Calibri"/>
        <family val="2"/>
      </rPr>
      <t xml:space="preserve"> (best estimate)</t>
    </r>
    <r>
      <rPr>
        <vertAlign val="superscript"/>
        <sz val="12"/>
        <color indexed="8"/>
        <rFont val="Calibri"/>
        <family val="2"/>
      </rPr>
      <t>A</t>
    </r>
  </si>
  <si>
    <t>Exposure Frequency (EF)</t>
  </si>
  <si>
    <t>Exposure Duration (ED)</t>
  </si>
  <si>
    <t>Value by Scenario</t>
  </si>
  <si>
    <t>Construction</t>
  </si>
  <si>
    <t>Off-Site Residential</t>
  </si>
  <si>
    <t>Industrial-Commercial Worker</t>
  </si>
  <si>
    <t>years</t>
  </si>
  <si>
    <t>days/year</t>
  </si>
  <si>
    <t>unitless</t>
  </si>
  <si>
    <r>
      <t>(14) From USEPA 2002 - J'</t>
    </r>
    <r>
      <rPr>
        <vertAlign val="subscript"/>
        <sz val="9.5"/>
        <rFont val="Times New Roman"/>
        <family val="1"/>
      </rPr>
      <t>T</t>
    </r>
    <r>
      <rPr>
        <sz val="9.5"/>
        <rFont val="Times New Roman"/>
        <family val="1"/>
      </rPr>
      <t xml:space="preserve"> = (M</t>
    </r>
    <r>
      <rPr>
        <vertAlign val="subscript"/>
        <sz val="9.5"/>
        <rFont val="Times New Roman"/>
        <family val="1"/>
      </rPr>
      <t>wind</t>
    </r>
    <r>
      <rPr>
        <sz val="9.5"/>
        <rFont val="Times New Roman"/>
        <family val="1"/>
      </rPr>
      <t xml:space="preserve"> </t>
    </r>
    <r>
      <rPr>
        <sz val="9.5"/>
        <rFont val="Symbol"/>
        <family val="1"/>
      </rPr>
      <t>+</t>
    </r>
    <r>
      <rPr>
        <sz val="9.5"/>
        <rFont val="Times New Roman"/>
        <family val="1"/>
      </rPr>
      <t xml:space="preserve"> M</t>
    </r>
    <r>
      <rPr>
        <vertAlign val="subscript"/>
        <sz val="9.5"/>
        <rFont val="Times New Roman"/>
        <family val="1"/>
      </rPr>
      <t>excav</t>
    </r>
    <r>
      <rPr>
        <sz val="9.5"/>
        <rFont val="Times New Roman"/>
        <family val="1"/>
      </rPr>
      <t xml:space="preserve"> </t>
    </r>
    <r>
      <rPr>
        <sz val="9.5"/>
        <rFont val="Symbol"/>
        <family val="1"/>
      </rPr>
      <t>+</t>
    </r>
    <r>
      <rPr>
        <sz val="9.5"/>
        <rFont val="Times New Roman"/>
        <family val="1"/>
      </rPr>
      <t xml:space="preserve"> M</t>
    </r>
    <r>
      <rPr>
        <vertAlign val="subscript"/>
        <sz val="9.5"/>
        <rFont val="Times New Roman"/>
        <family val="1"/>
      </rPr>
      <t>doz</t>
    </r>
    <r>
      <rPr>
        <sz val="9.5"/>
        <rFont val="Times New Roman"/>
        <family val="1"/>
      </rPr>
      <t xml:space="preserve"> </t>
    </r>
    <r>
      <rPr>
        <sz val="9.5"/>
        <rFont val="Symbol"/>
        <family val="1"/>
      </rPr>
      <t>+</t>
    </r>
    <r>
      <rPr>
        <sz val="9.5"/>
        <rFont val="Times New Roman"/>
        <family val="1"/>
      </rPr>
      <t xml:space="preserve"> M</t>
    </r>
    <r>
      <rPr>
        <vertAlign val="subscript"/>
        <sz val="9.5"/>
        <rFont val="Times New Roman"/>
        <family val="1"/>
      </rPr>
      <t>grade</t>
    </r>
    <r>
      <rPr>
        <sz val="9.5"/>
        <rFont val="Times New Roman"/>
        <family val="1"/>
      </rPr>
      <t xml:space="preserve"> </t>
    </r>
    <r>
      <rPr>
        <sz val="9.5"/>
        <rFont val="Symbol"/>
        <family val="1"/>
      </rPr>
      <t>+</t>
    </r>
    <r>
      <rPr>
        <sz val="9.5"/>
        <rFont val="Times New Roman"/>
        <family val="1"/>
      </rPr>
      <t xml:space="preserve"> M</t>
    </r>
    <r>
      <rPr>
        <vertAlign val="subscript"/>
        <sz val="9.5"/>
        <rFont val="Times New Roman"/>
        <family val="1"/>
      </rPr>
      <t>till</t>
    </r>
    <r>
      <rPr>
        <sz val="9.5"/>
        <rFont val="Times New Roman"/>
        <family val="1"/>
      </rPr>
      <t>)/(A</t>
    </r>
    <r>
      <rPr>
        <vertAlign val="subscript"/>
        <sz val="9.5"/>
        <rFont val="Times New Roman"/>
        <family val="1"/>
      </rPr>
      <t>surf</t>
    </r>
    <r>
      <rPr>
        <sz val="9.5"/>
        <rFont val="Times New Roman"/>
        <family val="1"/>
      </rPr>
      <t xml:space="preserve"> </t>
    </r>
    <r>
      <rPr>
        <sz val="9.5"/>
        <rFont val="Symbol"/>
        <family val="1"/>
      </rPr>
      <t>´</t>
    </r>
    <r>
      <rPr>
        <sz val="9.5"/>
        <rFont val="Times New Roman"/>
        <family val="1"/>
      </rPr>
      <t xml:space="preserve"> T).</t>
    </r>
  </si>
  <si>
    <r>
      <t>M</t>
    </r>
    <r>
      <rPr>
        <vertAlign val="subscript"/>
        <sz val="10"/>
        <rFont val="Times New Roman"/>
        <family val="1"/>
      </rPr>
      <t>excav</t>
    </r>
  </si>
  <si>
    <r>
      <t>r</t>
    </r>
    <r>
      <rPr>
        <vertAlign val="subscript"/>
        <sz val="10"/>
        <rFont val="Times New Roman"/>
        <family val="1"/>
      </rPr>
      <t>soil</t>
    </r>
  </si>
  <si>
    <r>
      <t>Mg/m</t>
    </r>
    <r>
      <rPr>
        <vertAlign val="superscript"/>
        <sz val="10"/>
        <rFont val="Times New Roman"/>
        <family val="1"/>
      </rPr>
      <t>3</t>
    </r>
  </si>
  <si>
    <t>M</t>
  </si>
  <si>
    <t>Casper, WY</t>
  </si>
  <si>
    <t>Charleston, SC</t>
  </si>
  <si>
    <t>Chicago, IL</t>
  </si>
  <si>
    <t>Cleveland, OH</t>
  </si>
  <si>
    <t>Denver, CO</t>
  </si>
  <si>
    <t>Fresno, CA</t>
  </si>
  <si>
    <t>Harrisburg, PA</t>
  </si>
  <si>
    <t>Hartford, CT</t>
  </si>
  <si>
    <t>Houston, TX</t>
  </si>
  <si>
    <t>Huntington, WV</t>
  </si>
  <si>
    <t>Las Vegas, NV</t>
  </si>
  <si>
    <t>Lincoln, NE</t>
  </si>
  <si>
    <t>Little Rock, AR</t>
  </si>
  <si>
    <t>Los Angeles, CA</t>
  </si>
  <si>
    <t>Miami, FL</t>
  </si>
  <si>
    <t>Minneapolis, MN</t>
  </si>
  <si>
    <t>Philadelphia, PA</t>
  </si>
  <si>
    <t>Phoenix, AZ</t>
  </si>
  <si>
    <t>Portland, ME</t>
  </si>
  <si>
    <t>Raleigh, NC</t>
  </si>
  <si>
    <t>Salem, OR</t>
  </si>
  <si>
    <t>Salt Lake City, UT</t>
  </si>
  <si>
    <t>San Francisco, CA</t>
  </si>
  <si>
    <t>Seattle, WA</t>
  </si>
  <si>
    <t>Winnemucca, NV</t>
  </si>
  <si>
    <t>Meteorological Station</t>
  </si>
  <si>
    <r>
      <t>Number of times soil is tilled</t>
    </r>
    <r>
      <rPr>
        <vertAlign val="superscript"/>
        <sz val="10"/>
        <rFont val="Times New Roman"/>
        <family val="1"/>
      </rPr>
      <t>(2)</t>
    </r>
  </si>
  <si>
    <r>
      <t>Total Time Averaged PM</t>
    </r>
    <r>
      <rPr>
        <b/>
        <vertAlign val="subscript"/>
        <sz val="10"/>
        <rFont val="Times New Roman"/>
        <family val="1"/>
      </rPr>
      <t>10</t>
    </r>
    <r>
      <rPr>
        <b/>
        <sz val="10"/>
        <rFont val="Times New Roman"/>
        <family val="1"/>
      </rPr>
      <t xml:space="preserve"> Emission</t>
    </r>
    <r>
      <rPr>
        <b/>
        <vertAlign val="superscript"/>
        <sz val="10"/>
        <rFont val="Times New Roman"/>
        <family val="1"/>
      </rPr>
      <t>(14)</t>
    </r>
  </si>
  <si>
    <t>g/m2-sec</t>
  </si>
  <si>
    <r>
      <t>Duration of construction</t>
    </r>
    <r>
      <rPr>
        <vertAlign val="superscript"/>
        <sz val="10"/>
        <rFont val="Times New Roman"/>
        <family val="1"/>
      </rPr>
      <t>(2)</t>
    </r>
  </si>
  <si>
    <t>sec</t>
  </si>
  <si>
    <r>
      <t>Subchronic Dispersion Factor for Area Source</t>
    </r>
    <r>
      <rPr>
        <b/>
        <vertAlign val="superscript"/>
        <sz val="10"/>
        <rFont val="Times New Roman"/>
        <family val="1"/>
      </rPr>
      <t>(15)</t>
    </r>
  </si>
  <si>
    <r>
      <t>g/m</t>
    </r>
    <r>
      <rPr>
        <vertAlign val="superscript"/>
        <sz val="10"/>
        <rFont val="Times New Roman"/>
        <family val="1"/>
      </rPr>
      <t>2</t>
    </r>
    <r>
      <rPr>
        <sz val="10"/>
        <rFont val="Times New Roman"/>
        <family val="1"/>
      </rPr>
      <t>-sec per kg/m</t>
    </r>
    <r>
      <rPr>
        <vertAlign val="superscript"/>
        <sz val="10"/>
        <rFont val="Times New Roman"/>
        <family val="1"/>
      </rPr>
      <t>3</t>
    </r>
  </si>
  <si>
    <r>
      <t>Constant A</t>
    </r>
    <r>
      <rPr>
        <vertAlign val="superscript"/>
        <sz val="10"/>
        <rFont val="Times New Roman"/>
        <family val="1"/>
      </rPr>
      <t>(2)</t>
    </r>
  </si>
  <si>
    <r>
      <t>Constant B</t>
    </r>
    <r>
      <rPr>
        <vertAlign val="superscript"/>
        <sz val="10"/>
        <rFont val="Times New Roman"/>
        <family val="1"/>
      </rPr>
      <t>(2)</t>
    </r>
  </si>
  <si>
    <r>
      <t>Constant C</t>
    </r>
    <r>
      <rPr>
        <vertAlign val="superscript"/>
        <sz val="10"/>
        <rFont val="Times New Roman"/>
        <family val="1"/>
      </rPr>
      <t>(2)</t>
    </r>
  </si>
  <si>
    <t>acres</t>
  </si>
  <si>
    <r>
      <t>Dispersion correction factor</t>
    </r>
    <r>
      <rPr>
        <b/>
        <vertAlign val="superscript"/>
        <sz val="10"/>
        <rFont val="Times New Roman"/>
        <family val="1"/>
      </rPr>
      <t>(16)</t>
    </r>
  </si>
  <si>
    <r>
      <t>Subchronic PEF for Construction Activities</t>
    </r>
    <r>
      <rPr>
        <b/>
        <vertAlign val="superscript"/>
        <sz val="10"/>
        <rFont val="Times New Roman"/>
        <family val="1"/>
      </rPr>
      <t>(17)</t>
    </r>
  </si>
  <si>
    <r>
      <t>PEF</t>
    </r>
    <r>
      <rPr>
        <b/>
        <vertAlign val="subscript"/>
        <sz val="10"/>
        <rFont val="Times New Roman"/>
        <family val="1"/>
      </rPr>
      <t>sc</t>
    </r>
  </si>
  <si>
    <t>ND</t>
  </si>
  <si>
    <t>Sample ID</t>
  </si>
  <si>
    <r>
      <t xml:space="preserve">  - M</t>
    </r>
    <r>
      <rPr>
        <vertAlign val="subscript"/>
        <sz val="9.5"/>
        <rFont val="Times New Roman"/>
        <family val="1"/>
      </rPr>
      <t>wind</t>
    </r>
    <r>
      <rPr>
        <sz val="9.5"/>
        <rFont val="Times New Roman"/>
        <family val="1"/>
      </rPr>
      <t xml:space="preserve"> = 0.036 </t>
    </r>
    <r>
      <rPr>
        <sz val="9.5"/>
        <rFont val="Symbol"/>
        <family val="1"/>
      </rPr>
      <t>´</t>
    </r>
    <r>
      <rPr>
        <sz val="9.5"/>
        <rFont val="Times New Roman"/>
        <family val="1"/>
      </rPr>
      <t xml:space="preserve"> (1-V) </t>
    </r>
    <r>
      <rPr>
        <sz val="9.5"/>
        <rFont val="Symbol"/>
        <family val="1"/>
      </rPr>
      <t>´</t>
    </r>
    <r>
      <rPr>
        <sz val="9.5"/>
        <rFont val="Times New Roman"/>
        <family val="1"/>
      </rPr>
      <t xml:space="preserve"> (U</t>
    </r>
    <r>
      <rPr>
        <vertAlign val="subscript"/>
        <sz val="9.5"/>
        <rFont val="Times New Roman"/>
        <family val="1"/>
      </rPr>
      <t>m</t>
    </r>
    <r>
      <rPr>
        <sz val="9.5"/>
        <rFont val="Times New Roman"/>
        <family val="1"/>
      </rPr>
      <t>/U</t>
    </r>
    <r>
      <rPr>
        <vertAlign val="subscript"/>
        <sz val="9.5"/>
        <rFont val="Times New Roman"/>
        <family val="1"/>
      </rPr>
      <t>t)</t>
    </r>
    <r>
      <rPr>
        <vertAlign val="superscript"/>
        <sz val="9.5"/>
        <rFont val="Times New Roman"/>
        <family val="1"/>
      </rPr>
      <t>3</t>
    </r>
    <r>
      <rPr>
        <sz val="9.5"/>
        <rFont val="Times New Roman"/>
        <family val="1"/>
      </rPr>
      <t xml:space="preserve"> </t>
    </r>
    <r>
      <rPr>
        <sz val="9.5"/>
        <rFont val="Symbol"/>
        <family val="1"/>
      </rPr>
      <t>´</t>
    </r>
    <r>
      <rPr>
        <sz val="9.5"/>
        <rFont val="Times New Roman"/>
        <family val="1"/>
      </rPr>
      <t xml:space="preserve"> F(x) </t>
    </r>
    <r>
      <rPr>
        <sz val="9.5"/>
        <rFont val="Symbol"/>
        <family val="1"/>
      </rPr>
      <t>´</t>
    </r>
    <r>
      <rPr>
        <sz val="9.5"/>
        <rFont val="Times New Roman"/>
        <family val="1"/>
      </rPr>
      <t xml:space="preserve"> A</t>
    </r>
    <r>
      <rPr>
        <vertAlign val="subscript"/>
        <sz val="9.5"/>
        <rFont val="Times New Roman"/>
        <family val="1"/>
      </rPr>
      <t>surf</t>
    </r>
    <r>
      <rPr>
        <sz val="9.5"/>
        <rFont val="Times New Roman"/>
        <family val="1"/>
      </rPr>
      <t xml:space="preserve"> </t>
    </r>
    <r>
      <rPr>
        <sz val="9.5"/>
        <rFont val="Symbol"/>
        <family val="1"/>
      </rPr>
      <t>´</t>
    </r>
    <r>
      <rPr>
        <sz val="9.5"/>
        <rFont val="Times New Roman"/>
        <family val="1"/>
      </rPr>
      <t xml:space="preserve"> ED </t>
    </r>
    <r>
      <rPr>
        <sz val="9.5"/>
        <rFont val="Symbol"/>
        <family val="1"/>
      </rPr>
      <t>´</t>
    </r>
    <r>
      <rPr>
        <sz val="9.5"/>
        <rFont val="Times New Roman"/>
        <family val="1"/>
      </rPr>
      <t xml:space="preserve"> 8760hr/yr.</t>
    </r>
  </si>
  <si>
    <t>(20) Average of site data in Table E-4.</t>
  </si>
  <si>
    <r>
      <t>(6) From USEPA 2002a - M</t>
    </r>
    <r>
      <rPr>
        <vertAlign val="subscript"/>
        <sz val="9.5"/>
        <rFont val="Times New Roman"/>
        <family val="1"/>
      </rPr>
      <t>excav</t>
    </r>
    <r>
      <rPr>
        <sz val="9.5"/>
        <rFont val="Times New Roman"/>
        <family val="1"/>
      </rPr>
      <t xml:space="preserve"> = 0.35 </t>
    </r>
    <r>
      <rPr>
        <sz val="9.5"/>
        <rFont val="Symbol"/>
        <family val="1"/>
      </rPr>
      <t>´</t>
    </r>
    <r>
      <rPr>
        <sz val="9.5"/>
        <rFont val="Times New Roman"/>
        <family val="1"/>
      </rPr>
      <t xml:space="preserve"> 0.0016 </t>
    </r>
    <r>
      <rPr>
        <sz val="9.5"/>
        <rFont val="Symbol"/>
        <family val="1"/>
      </rPr>
      <t>´</t>
    </r>
    <r>
      <rPr>
        <sz val="9.5"/>
        <rFont val="Times New Roman"/>
        <family val="1"/>
      </rPr>
      <t xml:space="preserve"> [(U</t>
    </r>
    <r>
      <rPr>
        <vertAlign val="subscript"/>
        <sz val="9.5"/>
        <rFont val="Times New Roman"/>
        <family val="1"/>
      </rPr>
      <t>m</t>
    </r>
    <r>
      <rPr>
        <sz val="9.5"/>
        <rFont val="Times New Roman"/>
        <family val="1"/>
      </rPr>
      <t>/2.2</t>
    </r>
    <r>
      <rPr>
        <vertAlign val="subscript"/>
        <sz val="9.5"/>
        <rFont val="Times New Roman"/>
        <family val="1"/>
      </rPr>
      <t>)</t>
    </r>
    <r>
      <rPr>
        <vertAlign val="superscript"/>
        <sz val="9.5"/>
        <rFont val="Times New Roman"/>
        <family val="1"/>
      </rPr>
      <t>1.3</t>
    </r>
    <r>
      <rPr>
        <sz val="9.5"/>
        <rFont val="Times New Roman"/>
        <family val="1"/>
      </rPr>
      <t>/(M/2)</t>
    </r>
    <r>
      <rPr>
        <vertAlign val="superscript"/>
        <sz val="9.5"/>
        <rFont val="Times New Roman"/>
        <family val="1"/>
      </rPr>
      <t>1.4</t>
    </r>
    <r>
      <rPr>
        <sz val="9.5"/>
        <rFont val="Times New Roman"/>
        <family val="1"/>
      </rPr>
      <t xml:space="preserve">] </t>
    </r>
    <r>
      <rPr>
        <sz val="9.5"/>
        <rFont val="Symbol"/>
        <family val="1"/>
      </rPr>
      <t>´</t>
    </r>
    <r>
      <rPr>
        <sz val="9.5"/>
        <rFont val="Times New Roman"/>
        <family val="1"/>
      </rPr>
      <t xml:space="preserve"> </t>
    </r>
    <r>
      <rPr>
        <sz val="9.5"/>
        <rFont val="Symbol"/>
        <family val="1"/>
      </rPr>
      <t>r</t>
    </r>
    <r>
      <rPr>
        <vertAlign val="subscript"/>
        <sz val="9.5"/>
        <rFont val="Times New Roman"/>
        <family val="1"/>
      </rPr>
      <t>soil</t>
    </r>
    <r>
      <rPr>
        <sz val="9.5"/>
        <rFont val="Times New Roman"/>
        <family val="1"/>
      </rPr>
      <t xml:space="preserve"> </t>
    </r>
    <r>
      <rPr>
        <sz val="9.5"/>
        <rFont val="Symbol"/>
        <family val="1"/>
      </rPr>
      <t>´</t>
    </r>
    <r>
      <rPr>
        <sz val="9.5"/>
        <rFont val="Times New Roman"/>
        <family val="1"/>
      </rPr>
      <t xml:space="preserve"> A</t>
    </r>
    <r>
      <rPr>
        <vertAlign val="subscript"/>
        <sz val="9.5"/>
        <rFont val="Times New Roman"/>
        <family val="1"/>
      </rPr>
      <t>excav</t>
    </r>
    <r>
      <rPr>
        <sz val="9.5"/>
        <rFont val="Times New Roman"/>
        <family val="1"/>
      </rPr>
      <t xml:space="preserve"> </t>
    </r>
    <r>
      <rPr>
        <sz val="9.5"/>
        <rFont val="Symbol"/>
        <family val="1"/>
      </rPr>
      <t>´</t>
    </r>
    <r>
      <rPr>
        <sz val="9.5"/>
        <rFont val="Times New Roman"/>
        <family val="1"/>
      </rPr>
      <t xml:space="preserve"> d</t>
    </r>
    <r>
      <rPr>
        <vertAlign val="subscript"/>
        <sz val="9.5"/>
        <rFont val="Times New Roman"/>
        <family val="1"/>
      </rPr>
      <t>excav</t>
    </r>
    <r>
      <rPr>
        <sz val="9.5"/>
        <rFont val="Times New Roman"/>
        <family val="1"/>
      </rPr>
      <t xml:space="preserve"> </t>
    </r>
    <r>
      <rPr>
        <sz val="9.5"/>
        <rFont val="Symbol"/>
        <family val="1"/>
      </rPr>
      <t>´</t>
    </r>
    <r>
      <rPr>
        <sz val="9.5"/>
        <rFont val="Times New Roman"/>
        <family val="1"/>
      </rPr>
      <t xml:space="preserve"> N</t>
    </r>
    <r>
      <rPr>
        <vertAlign val="subscript"/>
        <sz val="9.5"/>
        <rFont val="Times New Roman"/>
        <family val="1"/>
      </rPr>
      <t>A</t>
    </r>
    <r>
      <rPr>
        <sz val="9.5"/>
        <rFont val="Times New Roman"/>
        <family val="1"/>
      </rPr>
      <t xml:space="preserve"> </t>
    </r>
    <r>
      <rPr>
        <sz val="9.5"/>
        <rFont val="Symbol"/>
        <family val="1"/>
      </rPr>
      <t>´</t>
    </r>
    <r>
      <rPr>
        <sz val="9.5"/>
        <rFont val="Times New Roman"/>
        <family val="1"/>
      </rPr>
      <t xml:space="preserve"> 10</t>
    </r>
    <r>
      <rPr>
        <vertAlign val="superscript"/>
        <sz val="9.5"/>
        <rFont val="Times New Roman"/>
        <family val="1"/>
      </rPr>
      <t>3</t>
    </r>
    <r>
      <rPr>
        <sz val="9.5"/>
        <rFont val="Times New Roman"/>
        <family val="1"/>
      </rPr>
      <t>g/kg.</t>
    </r>
  </si>
  <si>
    <t>(9) Assumed value of one fifth of the site based upon USEPA (2002).</t>
  </si>
  <si>
    <t>(1) From USEPA. (2002). Supplemental Guidance for Developing Soil Screening Levels for Superfund Sites.</t>
  </si>
  <si>
    <t>(2) Assumed value for the site based upon USEPA (2002).</t>
  </si>
  <si>
    <r>
      <t>Total outdoor ambient air dust concentration</t>
    </r>
    <r>
      <rPr>
        <b/>
        <vertAlign val="superscript"/>
        <sz val="10"/>
        <rFont val="Times New Roman"/>
        <family val="1"/>
      </rPr>
      <t>(25)</t>
    </r>
  </si>
  <si>
    <r>
      <t>kg/m</t>
    </r>
    <r>
      <rPr>
        <b/>
        <vertAlign val="superscript"/>
        <sz val="10"/>
        <rFont val="Times New Roman"/>
        <family val="1"/>
      </rPr>
      <t>3</t>
    </r>
  </si>
  <si>
    <r>
      <t>Total construction related PEF</t>
    </r>
    <r>
      <rPr>
        <b/>
        <vertAlign val="superscript"/>
        <sz val="10"/>
        <rFont val="Times New Roman"/>
        <family val="1"/>
      </rPr>
      <t>(24)</t>
    </r>
  </si>
  <si>
    <r>
      <t>PEF</t>
    </r>
    <r>
      <rPr>
        <b/>
        <vertAlign val="subscript"/>
        <sz val="10"/>
        <rFont val="Times New Roman"/>
        <family val="1"/>
      </rPr>
      <t>sc_total</t>
    </r>
  </si>
  <si>
    <r>
      <t>PEF</t>
    </r>
    <r>
      <rPr>
        <b/>
        <vertAlign val="subscript"/>
        <sz val="10"/>
        <rFont val="Times New Roman"/>
        <family val="1"/>
      </rPr>
      <t>Worker</t>
    </r>
  </si>
  <si>
    <t>PARTICULATE EMISSION FACTOR (PEF) FOR OFF-SITE RESIDENTIAL SCENARIO</t>
  </si>
  <si>
    <t>PARTICULATE EMISSION FACTOR (PEF) FOR CONSTRUCTION SCENARIO</t>
  </si>
  <si>
    <t>PARTICULATE EMISSION FACTOR (PEF) FOR COMMERCIAL/INDUSTRIAL SCENARIO</t>
  </si>
  <si>
    <r>
      <t>(10) From USEPA 2002 - M</t>
    </r>
    <r>
      <rPr>
        <vertAlign val="subscript"/>
        <sz val="9.5"/>
        <rFont val="Times New Roman"/>
        <family val="1"/>
      </rPr>
      <t>doz</t>
    </r>
    <r>
      <rPr>
        <sz val="9.5"/>
        <rFont val="Times New Roman"/>
        <family val="1"/>
      </rPr>
      <t xml:space="preserve"> = 0.75 </t>
    </r>
    <r>
      <rPr>
        <sz val="9.5"/>
        <rFont val="Symbol"/>
        <family val="1"/>
      </rPr>
      <t>´</t>
    </r>
    <r>
      <rPr>
        <sz val="9.5"/>
        <rFont val="Times New Roman"/>
        <family val="1"/>
      </rPr>
      <t xml:space="preserve"> [(0.45 </t>
    </r>
    <r>
      <rPr>
        <sz val="9.5"/>
        <rFont val="Symbol"/>
        <family val="1"/>
      </rPr>
      <t>´</t>
    </r>
    <r>
      <rPr>
        <sz val="9.5"/>
        <rFont val="Times New Roman"/>
        <family val="1"/>
      </rPr>
      <t xml:space="preserve"> s</t>
    </r>
    <r>
      <rPr>
        <vertAlign val="superscript"/>
        <sz val="9.5"/>
        <rFont val="Times New Roman"/>
        <family val="1"/>
      </rPr>
      <t>1.5</t>
    </r>
    <r>
      <rPr>
        <sz val="9.5"/>
        <rFont val="Times New Roman"/>
        <family val="1"/>
      </rPr>
      <t>)/(M)</t>
    </r>
    <r>
      <rPr>
        <vertAlign val="superscript"/>
        <sz val="9.5"/>
        <rFont val="Times New Roman"/>
        <family val="1"/>
      </rPr>
      <t>1.4</t>
    </r>
    <r>
      <rPr>
        <sz val="9.5"/>
        <rFont val="Times New Roman"/>
        <family val="1"/>
      </rPr>
      <t xml:space="preserve">] </t>
    </r>
    <r>
      <rPr>
        <sz val="9.5"/>
        <rFont val="Symbol"/>
        <family val="1"/>
      </rPr>
      <t>´</t>
    </r>
    <r>
      <rPr>
        <sz val="9.5"/>
        <rFont val="Times New Roman"/>
        <family val="1"/>
      </rPr>
      <t xml:space="preserve"> </t>
    </r>
    <r>
      <rPr>
        <sz val="9.5"/>
        <rFont val="Arial"/>
        <family val="2"/>
      </rPr>
      <t>∑</t>
    </r>
    <r>
      <rPr>
        <sz val="9.5"/>
        <rFont val="Times New Roman"/>
        <family val="1"/>
      </rPr>
      <t>VKT</t>
    </r>
    <r>
      <rPr>
        <vertAlign val="subscript"/>
        <sz val="9.5"/>
        <rFont val="Times New Roman"/>
        <family val="1"/>
      </rPr>
      <t>doz</t>
    </r>
    <r>
      <rPr>
        <sz val="9.5"/>
        <rFont val="Times New Roman"/>
        <family val="1"/>
      </rPr>
      <t>/S</t>
    </r>
    <r>
      <rPr>
        <vertAlign val="subscript"/>
        <sz val="9.5"/>
        <rFont val="Times New Roman"/>
        <family val="1"/>
      </rPr>
      <t>doz</t>
    </r>
    <r>
      <rPr>
        <sz val="9.5"/>
        <rFont val="Times New Roman"/>
        <family val="1"/>
      </rPr>
      <t xml:space="preserve"> </t>
    </r>
    <r>
      <rPr>
        <sz val="9.5"/>
        <rFont val="Symbol"/>
        <family val="1"/>
      </rPr>
      <t>´</t>
    </r>
    <r>
      <rPr>
        <sz val="9.5"/>
        <rFont val="Times New Roman"/>
        <family val="1"/>
      </rPr>
      <t xml:space="preserve"> 10</t>
    </r>
    <r>
      <rPr>
        <vertAlign val="superscript"/>
        <sz val="9.5"/>
        <rFont val="Times New Roman"/>
        <family val="1"/>
      </rPr>
      <t>3</t>
    </r>
    <r>
      <rPr>
        <sz val="9.5"/>
        <rFont val="Times New Roman"/>
        <family val="1"/>
      </rPr>
      <t>g/kg.</t>
    </r>
  </si>
  <si>
    <r>
      <t>(11) From USEPA 2002 - VKT</t>
    </r>
    <r>
      <rPr>
        <vertAlign val="subscript"/>
        <sz val="9.5"/>
        <rFont val="Times New Roman"/>
        <family val="1"/>
      </rPr>
      <t>doz</t>
    </r>
    <r>
      <rPr>
        <sz val="9.5"/>
        <rFont val="Times New Roman"/>
        <family val="1"/>
      </rPr>
      <t xml:space="preserve"> = [(A</t>
    </r>
    <r>
      <rPr>
        <vertAlign val="subscript"/>
        <sz val="9.5"/>
        <rFont val="Times New Roman"/>
        <family val="1"/>
      </rPr>
      <t>surf</t>
    </r>
    <r>
      <rPr>
        <vertAlign val="superscript"/>
        <sz val="9.5"/>
        <rFont val="Times New Roman"/>
        <family val="1"/>
      </rPr>
      <t>0.5</t>
    </r>
    <r>
      <rPr>
        <sz val="9.5"/>
        <rFont val="Times New Roman"/>
        <family val="1"/>
      </rPr>
      <t xml:space="preserve">/2.44m) </t>
    </r>
    <r>
      <rPr>
        <sz val="9.5"/>
        <rFont val="Symbol"/>
        <family val="1"/>
      </rPr>
      <t>´</t>
    </r>
    <r>
      <rPr>
        <sz val="9.5"/>
        <rFont val="Times New Roman"/>
        <family val="1"/>
      </rPr>
      <t xml:space="preserve"> A</t>
    </r>
    <r>
      <rPr>
        <vertAlign val="subscript"/>
        <sz val="9.5"/>
        <rFont val="Times New Roman"/>
        <family val="1"/>
      </rPr>
      <t>surf</t>
    </r>
    <r>
      <rPr>
        <vertAlign val="superscript"/>
        <sz val="9.5"/>
        <rFont val="Times New Roman"/>
        <family val="1"/>
      </rPr>
      <t>0.5</t>
    </r>
    <r>
      <rPr>
        <sz val="9.5"/>
        <rFont val="Times New Roman"/>
        <family val="1"/>
      </rPr>
      <t xml:space="preserve"> </t>
    </r>
    <r>
      <rPr>
        <sz val="9.5"/>
        <rFont val="Symbol"/>
        <family val="1"/>
      </rPr>
      <t>´</t>
    </r>
    <r>
      <rPr>
        <sz val="9.5"/>
        <rFont val="Times New Roman"/>
        <family val="1"/>
      </rPr>
      <t xml:space="preserve"> 3]/1,000 m/km.</t>
    </r>
  </si>
  <si>
    <r>
      <t>(12) From USEPA 2002 - M</t>
    </r>
    <r>
      <rPr>
        <vertAlign val="subscript"/>
        <sz val="9.5"/>
        <rFont val="Times New Roman"/>
        <family val="1"/>
      </rPr>
      <t>grade</t>
    </r>
    <r>
      <rPr>
        <sz val="9.5"/>
        <rFont val="Times New Roman"/>
        <family val="1"/>
      </rPr>
      <t xml:space="preserve"> = 0.60 </t>
    </r>
    <r>
      <rPr>
        <sz val="9.5"/>
        <rFont val="Symbol"/>
        <family val="1"/>
      </rPr>
      <t>´</t>
    </r>
    <r>
      <rPr>
        <sz val="9.5"/>
        <rFont val="Times New Roman"/>
        <family val="1"/>
      </rPr>
      <t xml:space="preserve"> (0.0056 </t>
    </r>
    <r>
      <rPr>
        <sz val="9.5"/>
        <rFont val="Symbol"/>
        <family val="1"/>
      </rPr>
      <t>´</t>
    </r>
    <r>
      <rPr>
        <sz val="9.5"/>
        <rFont val="Times New Roman"/>
        <family val="1"/>
      </rPr>
      <t xml:space="preserve"> S</t>
    </r>
    <r>
      <rPr>
        <vertAlign val="superscript"/>
        <sz val="9.5"/>
        <rFont val="Times New Roman"/>
        <family val="1"/>
      </rPr>
      <t>2.0</t>
    </r>
    <r>
      <rPr>
        <sz val="9.5"/>
        <rFont val="Times New Roman"/>
        <family val="1"/>
      </rPr>
      <t xml:space="preserve">) </t>
    </r>
    <r>
      <rPr>
        <sz val="9.5"/>
        <rFont val="Symbol"/>
        <family val="1"/>
      </rPr>
      <t>´</t>
    </r>
    <r>
      <rPr>
        <sz val="9.5"/>
        <rFont val="Times New Roman"/>
        <family val="1"/>
      </rPr>
      <t xml:space="preserve"> </t>
    </r>
    <r>
      <rPr>
        <sz val="9.5"/>
        <rFont val="Arial"/>
        <family val="2"/>
      </rPr>
      <t>∑</t>
    </r>
    <r>
      <rPr>
        <sz val="9.5"/>
        <rFont val="Times New Roman"/>
        <family val="1"/>
      </rPr>
      <t>VKT</t>
    </r>
    <r>
      <rPr>
        <vertAlign val="subscript"/>
        <sz val="9.5"/>
        <rFont val="Times New Roman"/>
        <family val="1"/>
      </rPr>
      <t>grade</t>
    </r>
    <r>
      <rPr>
        <sz val="9.5"/>
        <rFont val="Times New Roman"/>
        <family val="1"/>
      </rPr>
      <t xml:space="preserve"> </t>
    </r>
    <r>
      <rPr>
        <sz val="9.5"/>
        <rFont val="Symbol"/>
        <family val="1"/>
      </rPr>
      <t>´</t>
    </r>
    <r>
      <rPr>
        <sz val="9.5"/>
        <rFont val="Times New Roman"/>
        <family val="1"/>
      </rPr>
      <t xml:space="preserve"> 10</t>
    </r>
    <r>
      <rPr>
        <vertAlign val="superscript"/>
        <sz val="9.5"/>
        <rFont val="Times New Roman"/>
        <family val="1"/>
      </rPr>
      <t>3</t>
    </r>
    <r>
      <rPr>
        <sz val="9.5"/>
        <rFont val="Times New Roman"/>
        <family val="1"/>
      </rPr>
      <t>g/kg.</t>
    </r>
  </si>
  <si>
    <r>
      <t>(13) From USEPA 2002 - M</t>
    </r>
    <r>
      <rPr>
        <vertAlign val="subscript"/>
        <sz val="9.5"/>
        <rFont val="Times New Roman"/>
        <family val="1"/>
      </rPr>
      <t>till</t>
    </r>
    <r>
      <rPr>
        <sz val="9.5"/>
        <rFont val="Times New Roman"/>
        <family val="1"/>
      </rPr>
      <t xml:space="preserve"> = 1.1 </t>
    </r>
    <r>
      <rPr>
        <sz val="9.5"/>
        <rFont val="Symbol"/>
        <family val="1"/>
      </rPr>
      <t>´</t>
    </r>
    <r>
      <rPr>
        <sz val="9.5"/>
        <rFont val="Times New Roman"/>
        <family val="1"/>
      </rPr>
      <t xml:space="preserve"> s</t>
    </r>
    <r>
      <rPr>
        <vertAlign val="superscript"/>
        <sz val="9.5"/>
        <rFont val="Times New Roman"/>
        <family val="1"/>
      </rPr>
      <t>0.6</t>
    </r>
    <r>
      <rPr>
        <sz val="9.5"/>
        <rFont val="Times New Roman"/>
        <family val="1"/>
      </rPr>
      <t xml:space="preserve"> </t>
    </r>
    <r>
      <rPr>
        <sz val="9.5"/>
        <rFont val="Symbol"/>
        <family val="1"/>
      </rPr>
      <t>´</t>
    </r>
    <r>
      <rPr>
        <sz val="9.5"/>
        <rFont val="Times New Roman"/>
        <family val="1"/>
      </rPr>
      <t xml:space="preserve"> A</t>
    </r>
    <r>
      <rPr>
        <vertAlign val="subscript"/>
        <sz val="9.5"/>
        <rFont val="Times New Roman"/>
        <family val="1"/>
      </rPr>
      <t>till</t>
    </r>
    <r>
      <rPr>
        <sz val="9.5"/>
        <rFont val="Times New Roman"/>
        <family val="1"/>
      </rPr>
      <t xml:space="preserve"> </t>
    </r>
    <r>
      <rPr>
        <sz val="9.5"/>
        <rFont val="Symbol"/>
        <family val="1"/>
      </rPr>
      <t>´</t>
    </r>
    <r>
      <rPr>
        <sz val="9.5"/>
        <rFont val="Times New Roman"/>
        <family val="1"/>
      </rPr>
      <t xml:space="preserve"> 4,047m</t>
    </r>
    <r>
      <rPr>
        <vertAlign val="superscript"/>
        <sz val="9.5"/>
        <rFont val="Times New Roman"/>
        <family val="1"/>
      </rPr>
      <t>2</t>
    </r>
    <r>
      <rPr>
        <sz val="9.5"/>
        <rFont val="Times New Roman"/>
        <family val="1"/>
      </rPr>
      <t xml:space="preserve">/acre </t>
    </r>
    <r>
      <rPr>
        <sz val="9.5"/>
        <rFont val="Symbol"/>
        <family val="1"/>
      </rPr>
      <t>´</t>
    </r>
    <r>
      <rPr>
        <sz val="9.5"/>
        <rFont val="Times New Roman"/>
        <family val="1"/>
      </rPr>
      <t xml:space="preserve"> 10</t>
    </r>
    <r>
      <rPr>
        <vertAlign val="superscript"/>
        <sz val="9.5"/>
        <rFont val="Times New Roman"/>
        <family val="1"/>
      </rPr>
      <t>-4</t>
    </r>
    <r>
      <rPr>
        <sz val="9.5"/>
        <rFont val="Times New Roman"/>
        <family val="1"/>
      </rPr>
      <t>ha/m</t>
    </r>
    <r>
      <rPr>
        <vertAlign val="superscript"/>
        <sz val="9.5"/>
        <rFont val="Times New Roman"/>
        <family val="1"/>
      </rPr>
      <t>2</t>
    </r>
    <r>
      <rPr>
        <sz val="9.5"/>
        <rFont val="Times New Roman"/>
        <family val="1"/>
      </rPr>
      <t xml:space="preserve"> </t>
    </r>
    <r>
      <rPr>
        <sz val="9.5"/>
        <rFont val="Symbol"/>
        <family val="1"/>
      </rPr>
      <t>´</t>
    </r>
    <r>
      <rPr>
        <sz val="9.5"/>
        <rFont val="Times New Roman"/>
        <family val="1"/>
      </rPr>
      <t xml:space="preserve"> 10</t>
    </r>
    <r>
      <rPr>
        <vertAlign val="superscript"/>
        <sz val="9.5"/>
        <rFont val="Times New Roman"/>
        <family val="1"/>
      </rPr>
      <t>3</t>
    </r>
    <r>
      <rPr>
        <sz val="9.5"/>
        <rFont val="Times New Roman"/>
        <family val="1"/>
      </rPr>
      <t xml:space="preserve">g/kg </t>
    </r>
    <r>
      <rPr>
        <sz val="9.5"/>
        <rFont val="Symbol"/>
        <family val="1"/>
      </rPr>
      <t>´</t>
    </r>
    <r>
      <rPr>
        <sz val="9.5"/>
        <rFont val="Times New Roman"/>
        <family val="1"/>
      </rPr>
      <t xml:space="preserve"> N</t>
    </r>
    <r>
      <rPr>
        <vertAlign val="subscript"/>
        <sz val="9.5"/>
        <rFont val="Times New Roman"/>
        <family val="1"/>
      </rPr>
      <t>A</t>
    </r>
    <r>
      <rPr>
        <sz val="9.5"/>
        <rFont val="Times New Roman"/>
        <family val="1"/>
      </rPr>
      <t>.</t>
    </r>
  </si>
  <si>
    <r>
      <t>(15) From USEPA 2002 - Q/C</t>
    </r>
    <r>
      <rPr>
        <vertAlign val="subscript"/>
        <sz val="9.5"/>
        <rFont val="Times New Roman"/>
        <family val="1"/>
      </rPr>
      <t>sa</t>
    </r>
    <r>
      <rPr>
        <sz val="9.5"/>
        <rFont val="Times New Roman"/>
        <family val="1"/>
      </rPr>
      <t xml:space="preserve"> = A </t>
    </r>
    <r>
      <rPr>
        <sz val="9.5"/>
        <rFont val="Symbol"/>
        <family val="1"/>
      </rPr>
      <t>´</t>
    </r>
    <r>
      <rPr>
        <sz val="9.5"/>
        <rFont val="Times New Roman"/>
        <family val="1"/>
      </rPr>
      <t xml:space="preserve"> exp[(ln(A</t>
    </r>
    <r>
      <rPr>
        <vertAlign val="subscript"/>
        <sz val="9.5"/>
        <rFont val="Times New Roman"/>
        <family val="1"/>
      </rPr>
      <t>surf</t>
    </r>
    <r>
      <rPr>
        <sz val="9.5"/>
        <rFont val="Times New Roman"/>
        <family val="1"/>
      </rPr>
      <t xml:space="preserve">) </t>
    </r>
    <r>
      <rPr>
        <sz val="9.5"/>
        <rFont val="Symbol"/>
        <family val="1"/>
      </rPr>
      <t>-</t>
    </r>
    <r>
      <rPr>
        <sz val="9.5"/>
        <rFont val="Times New Roman"/>
        <family val="1"/>
      </rPr>
      <t xml:space="preserve"> B)</t>
    </r>
    <r>
      <rPr>
        <vertAlign val="superscript"/>
        <sz val="9.5"/>
        <rFont val="Times New Roman"/>
        <family val="1"/>
      </rPr>
      <t>2</t>
    </r>
    <r>
      <rPr>
        <sz val="9.5"/>
        <rFont val="Times New Roman"/>
        <family val="1"/>
      </rPr>
      <t>/C].</t>
    </r>
  </si>
  <si>
    <r>
      <t>Fraction of vegetative cover</t>
    </r>
    <r>
      <rPr>
        <vertAlign val="superscript"/>
        <sz val="10"/>
        <rFont val="Times New Roman"/>
        <family val="1"/>
      </rPr>
      <t>(2)</t>
    </r>
  </si>
  <si>
    <t>V</t>
  </si>
  <si>
    <t>--</t>
  </si>
  <si>
    <r>
      <t>Mean annual wind speed</t>
    </r>
    <r>
      <rPr>
        <vertAlign val="superscript"/>
        <sz val="10"/>
        <rFont val="Times New Roman"/>
        <family val="1"/>
      </rPr>
      <t>(3)</t>
    </r>
  </si>
  <si>
    <r>
      <t>U</t>
    </r>
    <r>
      <rPr>
        <vertAlign val="subscript"/>
        <sz val="10"/>
        <rFont val="Times New Roman"/>
        <family val="1"/>
      </rPr>
      <t>m</t>
    </r>
  </si>
  <si>
    <t>m/s</t>
  </si>
  <si>
    <r>
      <t>Equivalent threshold value of wind speed</t>
    </r>
    <r>
      <rPr>
        <vertAlign val="superscript"/>
        <sz val="10"/>
        <rFont val="Times New Roman"/>
        <family val="1"/>
      </rPr>
      <t>(2)</t>
    </r>
  </si>
  <si>
    <r>
      <t>U</t>
    </r>
    <r>
      <rPr>
        <vertAlign val="subscript"/>
        <sz val="10"/>
        <rFont val="Times New Roman"/>
        <family val="1"/>
      </rPr>
      <t>t</t>
    </r>
  </si>
  <si>
    <r>
      <t>Function dependent on U/U</t>
    </r>
    <r>
      <rPr>
        <vertAlign val="subscript"/>
        <sz val="10"/>
        <rFont val="Times New Roman"/>
        <family val="1"/>
      </rPr>
      <t>t</t>
    </r>
    <r>
      <rPr>
        <vertAlign val="superscript"/>
        <sz val="10"/>
        <rFont val="Times New Roman"/>
        <family val="1"/>
      </rPr>
      <t>(2)</t>
    </r>
  </si>
  <si>
    <t>F(x)</t>
  </si>
  <si>
    <r>
      <t>Areal Extent of site surface contamination</t>
    </r>
    <r>
      <rPr>
        <vertAlign val="superscript"/>
        <sz val="10"/>
        <rFont val="Times New Roman"/>
        <family val="1"/>
      </rPr>
      <t>(4)</t>
    </r>
  </si>
  <si>
    <r>
      <t>A</t>
    </r>
    <r>
      <rPr>
        <vertAlign val="subscript"/>
        <sz val="10"/>
        <rFont val="Times New Roman"/>
        <family val="1"/>
      </rPr>
      <t>surf</t>
    </r>
  </si>
  <si>
    <r>
      <t>m</t>
    </r>
    <r>
      <rPr>
        <vertAlign val="superscript"/>
        <sz val="10"/>
        <rFont val="Times New Roman"/>
        <family val="1"/>
      </rPr>
      <t>2</t>
    </r>
  </si>
  <si>
    <r>
      <t>Exposure duration</t>
    </r>
    <r>
      <rPr>
        <vertAlign val="superscript"/>
        <sz val="10"/>
        <rFont val="Times New Roman"/>
        <family val="1"/>
      </rPr>
      <t>(5)</t>
    </r>
  </si>
  <si>
    <t>ED</t>
  </si>
  <si>
    <t>year</t>
  </si>
  <si>
    <r>
      <t>Q/C</t>
    </r>
    <r>
      <rPr>
        <b/>
        <vertAlign val="subscript"/>
        <sz val="10"/>
        <rFont val="Times New Roman"/>
        <family val="1"/>
      </rPr>
      <t>wind</t>
    </r>
  </si>
  <si>
    <r>
      <t>Q/C</t>
    </r>
    <r>
      <rPr>
        <b/>
        <vertAlign val="subscript"/>
        <sz val="10"/>
        <rFont val="Times New Roman"/>
        <family val="1"/>
      </rPr>
      <t>OFF</t>
    </r>
  </si>
  <si>
    <r>
      <t>J'</t>
    </r>
    <r>
      <rPr>
        <b/>
        <vertAlign val="subscript"/>
        <sz val="10"/>
        <rFont val="Times New Roman"/>
        <family val="1"/>
      </rPr>
      <t>T</t>
    </r>
    <r>
      <rPr>
        <b/>
        <vertAlign val="superscript"/>
        <sz val="10"/>
        <rFont val="Times New Roman"/>
        <family val="1"/>
      </rPr>
      <t>OFF</t>
    </r>
  </si>
  <si>
    <t>Albuquerque, NM</t>
  </si>
  <si>
    <t>Atlanta, GA</t>
  </si>
  <si>
    <t>Bismarck, ND</t>
  </si>
  <si>
    <t>Boise, ID</t>
  </si>
  <si>
    <r>
      <t>(16) From USEPA 2002 - F</t>
    </r>
    <r>
      <rPr>
        <vertAlign val="subscript"/>
        <sz val="9.5"/>
        <rFont val="Times New Roman"/>
        <family val="1"/>
      </rPr>
      <t>D</t>
    </r>
    <r>
      <rPr>
        <sz val="9.5"/>
        <rFont val="Times New Roman"/>
        <family val="1"/>
      </rPr>
      <t xml:space="preserve"> = 0.1852 + (5.3537/t</t>
    </r>
    <r>
      <rPr>
        <vertAlign val="subscript"/>
        <sz val="9.5"/>
        <rFont val="Times New Roman"/>
        <family val="1"/>
      </rPr>
      <t>c</t>
    </r>
    <r>
      <rPr>
        <sz val="9.5"/>
        <rFont val="Times New Roman"/>
        <family val="1"/>
      </rPr>
      <t>)+(-9.6318/t</t>
    </r>
    <r>
      <rPr>
        <vertAlign val="subscript"/>
        <sz val="9.5"/>
        <rFont val="Times New Roman"/>
        <family val="1"/>
      </rPr>
      <t>c</t>
    </r>
    <r>
      <rPr>
        <vertAlign val="superscript"/>
        <sz val="9.5"/>
        <rFont val="Times New Roman"/>
        <family val="1"/>
      </rPr>
      <t>2</t>
    </r>
    <r>
      <rPr>
        <sz val="9.5"/>
        <rFont val="Times New Roman"/>
        <family val="1"/>
      </rPr>
      <t>), t</t>
    </r>
    <r>
      <rPr>
        <vertAlign val="subscript"/>
        <sz val="9.5"/>
        <rFont val="Times New Roman"/>
        <family val="1"/>
      </rPr>
      <t>c</t>
    </r>
    <r>
      <rPr>
        <sz val="9.5"/>
        <rFont val="Times New Roman"/>
        <family val="1"/>
      </rPr>
      <t xml:space="preserve"> = T/(3,600sec/hour).</t>
    </r>
  </si>
  <si>
    <r>
      <t>Soil Concentration (C</t>
    </r>
    <r>
      <rPr>
        <b/>
        <vertAlign val="subscript"/>
        <sz val="11"/>
        <color indexed="8"/>
        <rFont val="Calibri"/>
        <family val="2"/>
      </rPr>
      <t>s</t>
    </r>
    <r>
      <rPr>
        <b/>
        <sz val="11"/>
        <color indexed="8"/>
        <rFont val="Calibri"/>
        <family val="2"/>
      </rPr>
      <t>) Parameters</t>
    </r>
  </si>
  <si>
    <t>Unitless</t>
  </si>
  <si>
    <r>
      <t>UCL</t>
    </r>
    <r>
      <rPr>
        <vertAlign val="superscript"/>
        <sz val="8"/>
        <color indexed="8"/>
        <rFont val="Calibri"/>
        <family val="2"/>
      </rPr>
      <t>1</t>
    </r>
  </si>
  <si>
    <t>---------</t>
  </si>
  <si>
    <t>(18) Assumed value of the square root of the site area, based upon USEPA (2002).</t>
  </si>
  <si>
    <r>
      <t>(21) From USEPA 2002 - VKT</t>
    </r>
    <r>
      <rPr>
        <vertAlign val="subscript"/>
        <sz val="9.5"/>
        <rFont val="Times New Roman"/>
        <family val="1"/>
      </rPr>
      <t>road</t>
    </r>
    <r>
      <rPr>
        <sz val="9.5"/>
        <rFont val="Times New Roman"/>
        <family val="1"/>
      </rPr>
      <t xml:space="preserve"> = 30 vehicles </t>
    </r>
    <r>
      <rPr>
        <sz val="9.5"/>
        <rFont val="Symbol"/>
        <family val="1"/>
      </rPr>
      <t>´</t>
    </r>
    <r>
      <rPr>
        <sz val="9.5"/>
        <rFont val="Times New Roman"/>
        <family val="1"/>
      </rPr>
      <t xml:space="preserve"> L</t>
    </r>
    <r>
      <rPr>
        <vertAlign val="subscript"/>
        <sz val="9.5"/>
        <rFont val="Times New Roman"/>
        <family val="1"/>
      </rPr>
      <t>R</t>
    </r>
    <r>
      <rPr>
        <sz val="9.5"/>
        <rFont val="Times New Roman"/>
        <family val="1"/>
      </rPr>
      <t xml:space="preserve"> </t>
    </r>
    <r>
      <rPr>
        <sz val="9.5"/>
        <rFont val="Symbol"/>
        <family val="1"/>
      </rPr>
      <t>´</t>
    </r>
    <r>
      <rPr>
        <sz val="9.5"/>
        <rFont val="Times New Roman"/>
        <family val="1"/>
      </rPr>
      <t xml:space="preserve"> [(52 wks/yr)/2] </t>
    </r>
    <r>
      <rPr>
        <sz val="9.5"/>
        <rFont val="Symbol"/>
        <family val="1"/>
      </rPr>
      <t>´</t>
    </r>
    <r>
      <rPr>
        <sz val="9.5"/>
        <rFont val="Times New Roman"/>
        <family val="1"/>
      </rPr>
      <t xml:space="preserve"> (5 days/week) / (1000 m/km).</t>
    </r>
  </si>
  <si>
    <r>
      <t>(22) From USEPA 2002 - Q/C</t>
    </r>
    <r>
      <rPr>
        <vertAlign val="subscript"/>
        <sz val="9.5"/>
        <rFont val="Times New Roman"/>
        <family val="1"/>
      </rPr>
      <t>sr</t>
    </r>
    <r>
      <rPr>
        <sz val="9.5"/>
        <rFont val="Times New Roman"/>
        <family val="1"/>
      </rPr>
      <t xml:space="preserve"> = A </t>
    </r>
    <r>
      <rPr>
        <sz val="9.5"/>
        <rFont val="Symbol"/>
        <family val="1"/>
      </rPr>
      <t>´</t>
    </r>
    <r>
      <rPr>
        <sz val="9.5"/>
        <rFont val="Times New Roman"/>
        <family val="1"/>
      </rPr>
      <t xml:space="preserve"> exp[(ln(A</t>
    </r>
    <r>
      <rPr>
        <vertAlign val="subscript"/>
        <sz val="9.5"/>
        <rFont val="Times New Roman"/>
        <family val="1"/>
      </rPr>
      <t>surf</t>
    </r>
    <r>
      <rPr>
        <sz val="9.5"/>
        <rFont val="Times New Roman"/>
        <family val="1"/>
      </rPr>
      <t xml:space="preserve">) </t>
    </r>
    <r>
      <rPr>
        <sz val="9.5"/>
        <rFont val="Symbol"/>
        <family val="1"/>
      </rPr>
      <t>-</t>
    </r>
    <r>
      <rPr>
        <sz val="9.5"/>
        <rFont val="Times New Roman"/>
        <family val="1"/>
      </rPr>
      <t xml:space="preserve"> B)</t>
    </r>
    <r>
      <rPr>
        <vertAlign val="superscript"/>
        <sz val="9.5"/>
        <rFont val="Times New Roman"/>
        <family val="1"/>
      </rPr>
      <t>2</t>
    </r>
    <r>
      <rPr>
        <sz val="9.5"/>
        <rFont val="Times New Roman"/>
        <family val="1"/>
      </rPr>
      <t>/C].</t>
    </r>
  </si>
  <si>
    <r>
      <t>(23) From USEPA 2002 - PEF</t>
    </r>
    <r>
      <rPr>
        <vertAlign val="subscript"/>
        <sz val="9.5"/>
        <rFont val="Times New Roman"/>
        <family val="1"/>
      </rPr>
      <t>sc_road</t>
    </r>
    <r>
      <rPr>
        <sz val="9.5"/>
        <rFont val="Times New Roman"/>
        <family val="1"/>
      </rPr>
      <t xml:space="preserve"> = Q/C</t>
    </r>
    <r>
      <rPr>
        <vertAlign val="subscript"/>
        <sz val="9.5"/>
        <rFont val="Times New Roman"/>
        <family val="1"/>
      </rPr>
      <t>sr</t>
    </r>
    <r>
      <rPr>
        <sz val="9.5"/>
        <rFont val="Times New Roman"/>
        <family val="1"/>
      </rPr>
      <t xml:space="preserve"> </t>
    </r>
    <r>
      <rPr>
        <sz val="9.5"/>
        <rFont val="Symbol"/>
        <family val="1"/>
      </rPr>
      <t>´</t>
    </r>
    <r>
      <rPr>
        <sz val="9.5"/>
        <rFont val="Times New Roman"/>
        <family val="1"/>
      </rPr>
      <t xml:space="preserve"> (1/F</t>
    </r>
    <r>
      <rPr>
        <vertAlign val="subscript"/>
        <sz val="9.5"/>
        <rFont val="Times New Roman"/>
        <family val="1"/>
      </rPr>
      <t>D</t>
    </r>
    <r>
      <rPr>
        <sz val="9.5"/>
        <rFont val="Times New Roman"/>
        <family val="1"/>
      </rPr>
      <t xml:space="preserve">) </t>
    </r>
    <r>
      <rPr>
        <sz val="9.5"/>
        <rFont val="Symbol"/>
        <family val="1"/>
      </rPr>
      <t>´</t>
    </r>
    <r>
      <rPr>
        <sz val="9.5"/>
        <rFont val="Times New Roman"/>
        <family val="1"/>
      </rPr>
      <t xml:space="preserve"> T </t>
    </r>
    <r>
      <rPr>
        <sz val="9.5"/>
        <rFont val="Symbol"/>
        <family val="1"/>
      </rPr>
      <t>´</t>
    </r>
    <r>
      <rPr>
        <sz val="9.5"/>
        <rFont val="Times New Roman"/>
        <family val="1"/>
      </rPr>
      <t xml:space="preserve"> A</t>
    </r>
    <r>
      <rPr>
        <vertAlign val="subscript"/>
        <sz val="9.5"/>
        <rFont val="Times New Roman"/>
        <family val="1"/>
      </rPr>
      <t>R</t>
    </r>
    <r>
      <rPr>
        <sz val="9.5"/>
        <rFont val="Times New Roman"/>
        <family val="1"/>
      </rPr>
      <t xml:space="preserve"> / </t>
    </r>
  </si>
  <si>
    <t>Pooled Analytical Sensitivity (AS)</t>
  </si>
  <si>
    <r>
      <t>Number of Structures (</t>
    </r>
    <r>
      <rPr>
        <i/>
        <sz val="11"/>
        <rFont val="Calibri"/>
        <family val="2"/>
      </rPr>
      <t>f</t>
    </r>
    <r>
      <rPr>
        <sz val="11"/>
        <rFont val="Calibri"/>
        <family val="2"/>
      </rPr>
      <t>)</t>
    </r>
  </si>
  <si>
    <r>
      <t>(14) From USEPA 2002 - J'</t>
    </r>
    <r>
      <rPr>
        <vertAlign val="subscript"/>
        <sz val="9.5"/>
        <rFont val="Times New Roman"/>
        <family val="1"/>
      </rPr>
      <t>T OFF</t>
    </r>
    <r>
      <rPr>
        <sz val="9.5"/>
        <rFont val="Times New Roman"/>
        <family val="1"/>
      </rPr>
      <t xml:space="preserve"> = (M</t>
    </r>
    <r>
      <rPr>
        <vertAlign val="subscript"/>
        <sz val="9.5"/>
        <rFont val="Times New Roman"/>
        <family val="1"/>
      </rPr>
      <t>wind</t>
    </r>
    <r>
      <rPr>
        <sz val="9.5"/>
        <rFont val="Times New Roman"/>
        <family val="1"/>
      </rPr>
      <t xml:space="preserve"> M</t>
    </r>
    <r>
      <rPr>
        <vertAlign val="subscript"/>
        <sz val="9.5"/>
        <rFont val="Times New Roman"/>
        <family val="1"/>
      </rPr>
      <t>excav</t>
    </r>
    <r>
      <rPr>
        <sz val="9.5"/>
        <rFont val="Times New Roman"/>
        <family val="1"/>
      </rPr>
      <t xml:space="preserve"> </t>
    </r>
    <r>
      <rPr>
        <sz val="9.5"/>
        <rFont val="Symbol"/>
        <family val="1"/>
      </rPr>
      <t>+</t>
    </r>
    <r>
      <rPr>
        <sz val="9.5"/>
        <rFont val="Times New Roman"/>
        <family val="1"/>
      </rPr>
      <t xml:space="preserve"> M</t>
    </r>
    <r>
      <rPr>
        <vertAlign val="subscript"/>
        <sz val="9.5"/>
        <rFont val="Times New Roman"/>
        <family val="1"/>
      </rPr>
      <t>doz</t>
    </r>
    <r>
      <rPr>
        <sz val="9.5"/>
        <rFont val="Times New Roman"/>
        <family val="1"/>
      </rPr>
      <t xml:space="preserve"> </t>
    </r>
    <r>
      <rPr>
        <sz val="9.5"/>
        <rFont val="Symbol"/>
        <family val="1"/>
      </rPr>
      <t>+</t>
    </r>
    <r>
      <rPr>
        <sz val="9.5"/>
        <rFont val="Times New Roman"/>
        <family val="1"/>
      </rPr>
      <t xml:space="preserve"> M</t>
    </r>
    <r>
      <rPr>
        <vertAlign val="subscript"/>
        <sz val="9.5"/>
        <rFont val="Times New Roman"/>
        <family val="1"/>
      </rPr>
      <t>grade</t>
    </r>
    <r>
      <rPr>
        <sz val="9.5"/>
        <rFont val="Times New Roman"/>
        <family val="1"/>
      </rPr>
      <t xml:space="preserve"> </t>
    </r>
    <r>
      <rPr>
        <sz val="9.5"/>
        <rFont val="Symbol"/>
        <family val="1"/>
      </rPr>
      <t>+</t>
    </r>
    <r>
      <rPr>
        <sz val="9.5"/>
        <rFont val="Times New Roman"/>
        <family val="1"/>
      </rPr>
      <t xml:space="preserve"> M</t>
    </r>
    <r>
      <rPr>
        <vertAlign val="subscript"/>
        <sz val="9.5"/>
        <rFont val="Times New Roman"/>
        <family val="1"/>
      </rPr>
      <t>till</t>
    </r>
    <r>
      <rPr>
        <sz val="9.5"/>
        <rFont val="Times New Roman"/>
        <family val="1"/>
      </rPr>
      <t>)/(A</t>
    </r>
    <r>
      <rPr>
        <vertAlign val="subscript"/>
        <sz val="9.5"/>
        <rFont val="Times New Roman"/>
        <family val="1"/>
      </rPr>
      <t>surf</t>
    </r>
    <r>
      <rPr>
        <sz val="9.5"/>
        <rFont val="Times New Roman"/>
        <family val="1"/>
      </rPr>
      <t xml:space="preserve"> </t>
    </r>
    <r>
      <rPr>
        <sz val="9.5"/>
        <rFont val="Symbol"/>
        <family val="1"/>
      </rPr>
      <t>´</t>
    </r>
    <r>
      <rPr>
        <sz val="9.5"/>
        <rFont val="Times New Roman"/>
        <family val="1"/>
      </rPr>
      <t xml:space="preserve"> T).</t>
    </r>
  </si>
  <si>
    <r>
      <t>(15) From USEPA 2002 - Q/C</t>
    </r>
    <r>
      <rPr>
        <vertAlign val="subscript"/>
        <sz val="9.5"/>
        <rFont val="Times New Roman"/>
        <family val="1"/>
      </rPr>
      <t>OFF</t>
    </r>
    <r>
      <rPr>
        <sz val="9.5"/>
        <rFont val="Times New Roman"/>
        <family val="1"/>
      </rPr>
      <t xml:space="preserve"> = A </t>
    </r>
    <r>
      <rPr>
        <sz val="9.5"/>
        <rFont val="Symbol"/>
        <family val="1"/>
      </rPr>
      <t>´</t>
    </r>
    <r>
      <rPr>
        <sz val="9.5"/>
        <rFont val="Times New Roman"/>
        <family val="1"/>
      </rPr>
      <t xml:space="preserve"> exp[(ln(A</t>
    </r>
    <r>
      <rPr>
        <vertAlign val="subscript"/>
        <sz val="9.5"/>
        <rFont val="Times New Roman"/>
        <family val="1"/>
      </rPr>
      <t>surf</t>
    </r>
    <r>
      <rPr>
        <sz val="9.5"/>
        <rFont val="Times New Roman"/>
        <family val="1"/>
      </rPr>
      <t xml:space="preserve">) </t>
    </r>
    <r>
      <rPr>
        <sz val="9.5"/>
        <rFont val="Symbol"/>
        <family val="1"/>
      </rPr>
      <t>-</t>
    </r>
    <r>
      <rPr>
        <sz val="9.5"/>
        <rFont val="Times New Roman"/>
        <family val="1"/>
      </rPr>
      <t xml:space="preserve"> B)</t>
    </r>
    <r>
      <rPr>
        <vertAlign val="superscript"/>
        <sz val="9.5"/>
        <rFont val="Times New Roman"/>
        <family val="1"/>
      </rPr>
      <t>2</t>
    </r>
    <r>
      <rPr>
        <sz val="9.5"/>
        <rFont val="Times New Roman"/>
        <family val="1"/>
      </rPr>
      <t>/C].</t>
    </r>
  </si>
  <si>
    <t>Constant A</t>
  </si>
  <si>
    <t>Constant B</t>
  </si>
  <si>
    <t>Constant C</t>
  </si>
  <si>
    <t>Analytical</t>
  </si>
  <si>
    <t>Sensitivity</t>
  </si>
  <si>
    <r>
      <t>Average depth of site excavation</t>
    </r>
    <r>
      <rPr>
        <vertAlign val="superscript"/>
        <sz val="10"/>
        <rFont val="Times New Roman"/>
        <family val="1"/>
      </rPr>
      <t>(2)</t>
    </r>
  </si>
  <si>
    <r>
      <t>Soil silt content %</t>
    </r>
    <r>
      <rPr>
        <vertAlign val="superscript"/>
        <sz val="10"/>
        <rFont val="Times New Roman"/>
        <family val="1"/>
      </rPr>
      <t>(7)</t>
    </r>
  </si>
  <si>
    <r>
      <t>Gravimetric Soil Moisture Content %</t>
    </r>
    <r>
      <rPr>
        <vertAlign val="superscript"/>
        <sz val="10"/>
        <rFont val="Times New Roman"/>
        <family val="1"/>
      </rPr>
      <t>(8)</t>
    </r>
  </si>
  <si>
    <r>
      <t>Average dozing speed</t>
    </r>
    <r>
      <rPr>
        <vertAlign val="superscript"/>
        <sz val="10"/>
        <rFont val="Times New Roman"/>
        <family val="1"/>
      </rPr>
      <t>(2)</t>
    </r>
  </si>
  <si>
    <r>
      <t>Average grading speed</t>
    </r>
    <r>
      <rPr>
        <vertAlign val="superscript"/>
        <sz val="10"/>
        <rFont val="Times New Roman"/>
        <family val="1"/>
      </rPr>
      <t>(2)</t>
    </r>
  </si>
  <si>
    <r>
      <t>Sum grading kilometers traveled</t>
    </r>
    <r>
      <rPr>
        <vertAlign val="superscript"/>
        <sz val="10"/>
        <rFont val="Times New Roman"/>
        <family val="1"/>
      </rPr>
      <t>(12)</t>
    </r>
  </si>
  <si>
    <r>
      <t>Surface area of contaminated road segment</t>
    </r>
    <r>
      <rPr>
        <vertAlign val="superscript"/>
        <sz val="10"/>
        <rFont val="Times New Roman"/>
        <family val="1"/>
      </rPr>
      <t>(19)</t>
    </r>
  </si>
  <si>
    <r>
      <t>Road surface silt content %</t>
    </r>
    <r>
      <rPr>
        <vertAlign val="superscript"/>
        <sz val="10"/>
        <rFont val="Times New Roman"/>
        <family val="1"/>
      </rPr>
      <t>(20)</t>
    </r>
  </si>
  <si>
    <r>
      <t>M</t>
    </r>
    <r>
      <rPr>
        <vertAlign val="subscript"/>
        <sz val="10"/>
        <rFont val="Times New Roman"/>
        <family val="1"/>
      </rPr>
      <t>dry</t>
    </r>
  </si>
  <si>
    <r>
      <t>Number of days/year with at least 0.01 inches of precipitation</t>
    </r>
    <r>
      <rPr>
        <vertAlign val="superscript"/>
        <sz val="10"/>
        <rFont val="Times New Roman"/>
        <family val="1"/>
      </rPr>
      <t>(3)</t>
    </r>
  </si>
  <si>
    <r>
      <t>Sum of fleet vehicle kilometers traveled during the exposure duration</t>
    </r>
    <r>
      <rPr>
        <vertAlign val="superscript"/>
        <sz val="10"/>
        <rFont val="Times New Roman"/>
        <family val="1"/>
      </rPr>
      <t>(21)</t>
    </r>
  </si>
  <si>
    <r>
      <t>Total Time Averaged PM</t>
    </r>
    <r>
      <rPr>
        <b/>
        <vertAlign val="subscript"/>
        <sz val="10"/>
        <rFont val="Times New Roman"/>
        <family val="1"/>
      </rPr>
      <t>10</t>
    </r>
    <r>
      <rPr>
        <b/>
        <sz val="10"/>
        <rFont val="Times New Roman"/>
        <family val="1"/>
      </rPr>
      <t xml:space="preserve"> Emission for off-site receptor</t>
    </r>
    <r>
      <rPr>
        <b/>
        <vertAlign val="superscript"/>
        <sz val="10"/>
        <rFont val="Times New Roman"/>
        <family val="1"/>
      </rPr>
      <t>(14)</t>
    </r>
  </si>
  <si>
    <r>
      <t>default value</t>
    </r>
    <r>
      <rPr>
        <i/>
        <vertAlign val="superscript"/>
        <sz val="11"/>
        <color indexed="8"/>
        <rFont val="Calibri"/>
        <family val="2"/>
      </rPr>
      <t>(1)</t>
    </r>
  </si>
  <si>
    <r>
      <t>Post-Construction fugitive dust from wind erosion</t>
    </r>
    <r>
      <rPr>
        <b/>
        <vertAlign val="superscript"/>
        <sz val="10"/>
        <rFont val="Times New Roman"/>
        <family val="1"/>
      </rPr>
      <t>(1)</t>
    </r>
  </si>
  <si>
    <t>ESTIMATED RISK</t>
  </si>
  <si>
    <r>
      <t>A, B, and C constants for calculating Q/C</t>
    </r>
    <r>
      <rPr>
        <i/>
        <vertAlign val="subscript"/>
        <sz val="11"/>
        <color indexed="8"/>
        <rFont val="Calibri"/>
        <family val="2"/>
      </rPr>
      <t>wind</t>
    </r>
    <r>
      <rPr>
        <i/>
        <vertAlign val="superscript"/>
        <sz val="11"/>
        <color indexed="8"/>
        <rFont val="Calibri"/>
        <family val="2"/>
      </rPr>
      <t>1</t>
    </r>
  </si>
  <si>
    <r>
      <t>A, B, and C constants for calculating Q/C</t>
    </r>
    <r>
      <rPr>
        <i/>
        <vertAlign val="subscript"/>
        <sz val="11"/>
        <color indexed="8"/>
        <rFont val="Calibri"/>
        <family val="2"/>
      </rPr>
      <t>OFF</t>
    </r>
    <r>
      <rPr>
        <i/>
        <vertAlign val="superscript"/>
        <sz val="11"/>
        <color indexed="8"/>
        <rFont val="Calibri"/>
        <family val="2"/>
      </rPr>
      <t>2</t>
    </r>
  </si>
  <si>
    <r>
      <t>2</t>
    </r>
    <r>
      <rPr>
        <sz val="11"/>
        <color theme="1"/>
        <rFont val="Calibri"/>
        <family val="2"/>
        <scheme val="minor"/>
      </rPr>
      <t xml:space="preserve"> Constants A, B, and C derived from Appendix E, Exhibit E-5 from U.S. EPA (2002)</t>
    </r>
  </si>
  <si>
    <r>
      <t>1</t>
    </r>
    <r>
      <rPr>
        <sz val="11"/>
        <color theme="1"/>
        <rFont val="Calibri"/>
        <family val="2"/>
        <scheme val="minor"/>
      </rPr>
      <t xml:space="preserve"> Constants A, B, and C derived from Appendix E, Exhibit E-3 from U.S. EPA (2002)</t>
    </r>
  </si>
  <si>
    <r>
      <t>(18) From USEPA 2002 - VKT</t>
    </r>
    <r>
      <rPr>
        <vertAlign val="subscript"/>
        <sz val="9.5"/>
        <rFont val="Times New Roman"/>
        <family val="1"/>
      </rPr>
      <t>road</t>
    </r>
    <r>
      <rPr>
        <sz val="9.5"/>
        <rFont val="Times New Roman"/>
        <family val="1"/>
      </rPr>
      <t xml:space="preserve"> = 30 vehicles </t>
    </r>
    <r>
      <rPr>
        <sz val="9.5"/>
        <rFont val="Symbol"/>
        <family val="1"/>
      </rPr>
      <t>´</t>
    </r>
    <r>
      <rPr>
        <sz val="9.5"/>
        <rFont val="Times New Roman"/>
        <family val="1"/>
      </rPr>
      <t xml:space="preserve"> L</t>
    </r>
    <r>
      <rPr>
        <vertAlign val="subscript"/>
        <sz val="9.5"/>
        <rFont val="Times New Roman"/>
        <family val="1"/>
      </rPr>
      <t>R</t>
    </r>
    <r>
      <rPr>
        <sz val="9.5"/>
        <rFont val="Times New Roman"/>
        <family val="1"/>
      </rPr>
      <t xml:space="preserve"> </t>
    </r>
    <r>
      <rPr>
        <sz val="9.5"/>
        <rFont val="Symbol"/>
        <family val="1"/>
      </rPr>
      <t>´</t>
    </r>
    <r>
      <rPr>
        <sz val="9.5"/>
        <rFont val="Times New Roman"/>
        <family val="1"/>
      </rPr>
      <t xml:space="preserve"> [(52 wks/yr)/2] </t>
    </r>
    <r>
      <rPr>
        <sz val="9.5"/>
        <rFont val="Symbol"/>
        <family val="1"/>
      </rPr>
      <t>´</t>
    </r>
    <r>
      <rPr>
        <sz val="9.5"/>
        <rFont val="Times New Roman"/>
        <family val="1"/>
      </rPr>
      <t xml:space="preserve"> (5 days/week) / (1000 m/km).</t>
    </r>
  </si>
  <si>
    <r>
      <t>Sum of fleet vehicle kilometers traveled during the exposure duration</t>
    </r>
    <r>
      <rPr>
        <vertAlign val="superscript"/>
        <sz val="10"/>
        <rFont val="Times New Roman"/>
        <family val="1"/>
      </rPr>
      <t>(18)</t>
    </r>
  </si>
  <si>
    <r>
      <t>Length of road segment</t>
    </r>
    <r>
      <rPr>
        <vertAlign val="superscript"/>
        <sz val="10"/>
        <rFont val="Times New Roman"/>
        <family val="1"/>
      </rPr>
      <t>(16)</t>
    </r>
  </si>
  <si>
    <t>(16) Assumed value of the square root of the site area, based upon USEPA (2002).</t>
  </si>
  <si>
    <t>(1) Assumed value for the site based upon USEPA (2002). Supplemental Guidance for Developing Soil Screening Levels for Superfund Sites.</t>
  </si>
  <si>
    <r>
      <t>Fraction of vegetative cover</t>
    </r>
    <r>
      <rPr>
        <vertAlign val="superscript"/>
        <sz val="10"/>
        <rFont val="Times New Roman"/>
        <family val="1"/>
      </rPr>
      <t>(1)</t>
    </r>
  </si>
  <si>
    <r>
      <t>Equivalent threshold value of wind speed</t>
    </r>
    <r>
      <rPr>
        <vertAlign val="superscript"/>
        <sz val="10"/>
        <rFont val="Times New Roman"/>
        <family val="1"/>
      </rPr>
      <t>(1)</t>
    </r>
  </si>
  <si>
    <r>
      <t>Function dependent on U/U</t>
    </r>
    <r>
      <rPr>
        <vertAlign val="subscript"/>
        <sz val="10"/>
        <rFont val="Times New Roman"/>
        <family val="1"/>
      </rPr>
      <t>t</t>
    </r>
    <r>
      <rPr>
        <vertAlign val="superscript"/>
        <sz val="10"/>
        <rFont val="Times New Roman"/>
        <family val="1"/>
      </rPr>
      <t>(1)</t>
    </r>
  </si>
  <si>
    <r>
      <t>Constant A</t>
    </r>
    <r>
      <rPr>
        <vertAlign val="superscript"/>
        <sz val="10"/>
        <rFont val="Times New Roman"/>
        <family val="1"/>
      </rPr>
      <t>(1)</t>
    </r>
  </si>
  <si>
    <r>
      <t>Constant B</t>
    </r>
    <r>
      <rPr>
        <vertAlign val="superscript"/>
        <sz val="10"/>
        <rFont val="Times New Roman"/>
        <family val="1"/>
      </rPr>
      <t>(1)</t>
    </r>
  </si>
  <si>
    <r>
      <t>Constant C</t>
    </r>
    <r>
      <rPr>
        <vertAlign val="superscript"/>
        <sz val="10"/>
        <rFont val="Times New Roman"/>
        <family val="1"/>
      </rPr>
      <t>(1)</t>
    </r>
  </si>
  <si>
    <r>
      <t>(6) From USEPA 2002 - M</t>
    </r>
    <r>
      <rPr>
        <vertAlign val="subscript"/>
        <sz val="9.5"/>
        <rFont val="Times New Roman"/>
        <family val="1"/>
      </rPr>
      <t>excav</t>
    </r>
    <r>
      <rPr>
        <sz val="9.5"/>
        <rFont val="Times New Roman"/>
        <family val="1"/>
      </rPr>
      <t xml:space="preserve"> = 0.35 </t>
    </r>
    <r>
      <rPr>
        <sz val="9.5"/>
        <rFont val="Symbol"/>
        <family val="1"/>
      </rPr>
      <t>´</t>
    </r>
    <r>
      <rPr>
        <sz val="9.5"/>
        <rFont val="Times New Roman"/>
        <family val="1"/>
      </rPr>
      <t xml:space="preserve"> 0.0016 </t>
    </r>
    <r>
      <rPr>
        <sz val="9.5"/>
        <rFont val="Symbol"/>
        <family val="1"/>
      </rPr>
      <t>´</t>
    </r>
    <r>
      <rPr>
        <sz val="9.5"/>
        <rFont val="Times New Roman"/>
        <family val="1"/>
      </rPr>
      <t xml:space="preserve"> [(U</t>
    </r>
    <r>
      <rPr>
        <vertAlign val="subscript"/>
        <sz val="9.5"/>
        <rFont val="Times New Roman"/>
        <family val="1"/>
      </rPr>
      <t>m</t>
    </r>
    <r>
      <rPr>
        <sz val="9.5"/>
        <rFont val="Times New Roman"/>
        <family val="1"/>
      </rPr>
      <t>/2.2</t>
    </r>
    <r>
      <rPr>
        <vertAlign val="subscript"/>
        <sz val="9.5"/>
        <rFont val="Times New Roman"/>
        <family val="1"/>
      </rPr>
      <t>)</t>
    </r>
    <r>
      <rPr>
        <vertAlign val="superscript"/>
        <sz val="9.5"/>
        <rFont val="Times New Roman"/>
        <family val="1"/>
      </rPr>
      <t>1.3</t>
    </r>
    <r>
      <rPr>
        <sz val="9.5"/>
        <rFont val="Times New Roman"/>
        <family val="1"/>
      </rPr>
      <t>/(M/2)</t>
    </r>
    <r>
      <rPr>
        <vertAlign val="superscript"/>
        <sz val="9.5"/>
        <rFont val="Times New Roman"/>
        <family val="1"/>
      </rPr>
      <t>1.4</t>
    </r>
    <r>
      <rPr>
        <sz val="9.5"/>
        <rFont val="Times New Roman"/>
        <family val="1"/>
      </rPr>
      <t xml:space="preserve">] </t>
    </r>
    <r>
      <rPr>
        <sz val="9.5"/>
        <rFont val="Symbol"/>
        <family val="1"/>
      </rPr>
      <t>´</t>
    </r>
    <r>
      <rPr>
        <sz val="9.5"/>
        <rFont val="Times New Roman"/>
        <family val="1"/>
      </rPr>
      <t xml:space="preserve"> </t>
    </r>
    <r>
      <rPr>
        <sz val="9.5"/>
        <rFont val="Symbol"/>
        <family val="1"/>
      </rPr>
      <t>r</t>
    </r>
    <r>
      <rPr>
        <vertAlign val="subscript"/>
        <sz val="9.5"/>
        <rFont val="Times New Roman"/>
        <family val="1"/>
      </rPr>
      <t>soil</t>
    </r>
    <r>
      <rPr>
        <sz val="9.5"/>
        <rFont val="Times New Roman"/>
        <family val="1"/>
      </rPr>
      <t xml:space="preserve"> </t>
    </r>
    <r>
      <rPr>
        <sz val="9.5"/>
        <rFont val="Symbol"/>
        <family val="1"/>
      </rPr>
      <t>´</t>
    </r>
    <r>
      <rPr>
        <sz val="9.5"/>
        <rFont val="Times New Roman"/>
        <family val="1"/>
      </rPr>
      <t xml:space="preserve"> A</t>
    </r>
    <r>
      <rPr>
        <vertAlign val="subscript"/>
        <sz val="9.5"/>
        <rFont val="Times New Roman"/>
        <family val="1"/>
      </rPr>
      <t>excav</t>
    </r>
    <r>
      <rPr>
        <sz val="9.5"/>
        <rFont val="Times New Roman"/>
        <family val="1"/>
      </rPr>
      <t xml:space="preserve"> </t>
    </r>
    <r>
      <rPr>
        <sz val="9.5"/>
        <rFont val="Symbol"/>
        <family val="1"/>
      </rPr>
      <t>´</t>
    </r>
    <r>
      <rPr>
        <sz val="9.5"/>
        <rFont val="Times New Roman"/>
        <family val="1"/>
      </rPr>
      <t xml:space="preserve"> d</t>
    </r>
    <r>
      <rPr>
        <vertAlign val="subscript"/>
        <sz val="9.5"/>
        <rFont val="Times New Roman"/>
        <family val="1"/>
      </rPr>
      <t>excav</t>
    </r>
    <r>
      <rPr>
        <sz val="9.5"/>
        <rFont val="Times New Roman"/>
        <family val="1"/>
      </rPr>
      <t xml:space="preserve"> </t>
    </r>
    <r>
      <rPr>
        <sz val="9.5"/>
        <rFont val="Symbol"/>
        <family val="1"/>
      </rPr>
      <t>´</t>
    </r>
    <r>
      <rPr>
        <sz val="9.5"/>
        <rFont val="Times New Roman"/>
        <family val="1"/>
      </rPr>
      <t xml:space="preserve"> N</t>
    </r>
    <r>
      <rPr>
        <vertAlign val="subscript"/>
        <sz val="9.5"/>
        <rFont val="Times New Roman"/>
        <family val="1"/>
      </rPr>
      <t>A</t>
    </r>
    <r>
      <rPr>
        <sz val="9.5"/>
        <rFont val="Times New Roman"/>
        <family val="1"/>
      </rPr>
      <t xml:space="preserve"> </t>
    </r>
    <r>
      <rPr>
        <sz val="9.5"/>
        <rFont val="Symbol"/>
        <family val="1"/>
      </rPr>
      <t>´</t>
    </r>
    <r>
      <rPr>
        <sz val="9.5"/>
        <rFont val="Times New Roman"/>
        <family val="1"/>
      </rPr>
      <t xml:space="preserve"> 10</t>
    </r>
    <r>
      <rPr>
        <vertAlign val="superscript"/>
        <sz val="9.5"/>
        <rFont val="Times New Roman"/>
        <family val="1"/>
      </rPr>
      <t>3</t>
    </r>
    <r>
      <rPr>
        <sz val="9.5"/>
        <rFont val="Times New Roman"/>
        <family val="1"/>
      </rPr>
      <t>g/kg.</t>
    </r>
  </si>
  <si>
    <r>
      <t>Mean annual wind speed</t>
    </r>
    <r>
      <rPr>
        <vertAlign val="superscript"/>
        <sz val="10"/>
        <rFont val="Times New Roman"/>
        <family val="1"/>
      </rPr>
      <t>(2)</t>
    </r>
  </si>
  <si>
    <r>
      <t>Areal Extent of site surface contamination</t>
    </r>
    <r>
      <rPr>
        <vertAlign val="superscript"/>
        <sz val="10"/>
        <rFont val="Times New Roman"/>
        <family val="1"/>
      </rPr>
      <t>(3)</t>
    </r>
  </si>
  <si>
    <r>
      <t>Air Dispersion Factor for Area Source</t>
    </r>
    <r>
      <rPr>
        <b/>
        <vertAlign val="superscript"/>
        <sz val="10"/>
        <rFont val="Times New Roman"/>
        <family val="1"/>
      </rPr>
      <t>(4)</t>
    </r>
  </si>
  <si>
    <r>
      <t>(4) From USEPA 2002 - Q/C</t>
    </r>
    <r>
      <rPr>
        <vertAlign val="subscript"/>
        <sz val="9.5"/>
        <rFont val="Times New Roman"/>
        <family val="1"/>
      </rPr>
      <t>sa</t>
    </r>
    <r>
      <rPr>
        <sz val="9.5"/>
        <rFont val="Times New Roman"/>
        <family val="1"/>
      </rPr>
      <t xml:space="preserve"> = A </t>
    </r>
    <r>
      <rPr>
        <sz val="9.5"/>
        <rFont val="Symbol"/>
        <family val="1"/>
      </rPr>
      <t>´</t>
    </r>
    <r>
      <rPr>
        <sz val="9.5"/>
        <rFont val="Times New Roman"/>
        <family val="1"/>
      </rPr>
      <t xml:space="preserve"> exp[(ln(A</t>
    </r>
    <r>
      <rPr>
        <vertAlign val="subscript"/>
        <sz val="9.5"/>
        <rFont val="Times New Roman"/>
        <family val="1"/>
      </rPr>
      <t>surf</t>
    </r>
    <r>
      <rPr>
        <sz val="9.5"/>
        <rFont val="Times New Roman"/>
        <family val="1"/>
      </rPr>
      <t xml:space="preserve">) </t>
    </r>
    <r>
      <rPr>
        <sz val="9.5"/>
        <rFont val="Symbol"/>
        <family val="1"/>
      </rPr>
      <t>-</t>
    </r>
    <r>
      <rPr>
        <sz val="9.5"/>
        <rFont val="Times New Roman"/>
        <family val="1"/>
      </rPr>
      <t xml:space="preserve"> B)</t>
    </r>
    <r>
      <rPr>
        <vertAlign val="superscript"/>
        <sz val="9.5"/>
        <rFont val="Times New Roman"/>
        <family val="1"/>
      </rPr>
      <t>2</t>
    </r>
    <r>
      <rPr>
        <sz val="9.5"/>
        <rFont val="Times New Roman"/>
        <family val="1"/>
      </rPr>
      <t>/C].</t>
    </r>
  </si>
  <si>
    <t>Site Specific Constant - Select from 'QC Equation Constants' tab</t>
  </si>
  <si>
    <r>
      <t>Commercial/Industrial Worker PEF</t>
    </r>
    <r>
      <rPr>
        <b/>
        <vertAlign val="superscript"/>
        <sz val="10"/>
        <rFont val="Times New Roman"/>
        <family val="1"/>
      </rPr>
      <t>(5)</t>
    </r>
  </si>
  <si>
    <r>
      <t>Total outdoor ambient air dust concentration</t>
    </r>
    <r>
      <rPr>
        <b/>
        <vertAlign val="superscript"/>
        <sz val="10"/>
        <rFont val="Times New Roman"/>
        <family val="1"/>
      </rPr>
      <t>(6)</t>
    </r>
  </si>
  <si>
    <r>
      <t>(6) D</t>
    </r>
    <r>
      <rPr>
        <vertAlign val="subscript"/>
        <sz val="9.5"/>
        <rFont val="Times New Roman"/>
        <family val="1"/>
      </rPr>
      <t>worker</t>
    </r>
    <r>
      <rPr>
        <sz val="9.5"/>
        <rFont val="Times New Roman"/>
        <family val="1"/>
      </rPr>
      <t xml:space="preserve"> = 1/PEF</t>
    </r>
    <r>
      <rPr>
        <vertAlign val="subscript"/>
        <sz val="9.5"/>
        <rFont val="Times New Roman"/>
        <family val="1"/>
      </rPr>
      <t>Worker</t>
    </r>
  </si>
  <si>
    <r>
      <t>(21) D</t>
    </r>
    <r>
      <rPr>
        <vertAlign val="subscript"/>
        <sz val="9.5"/>
        <rFont val="Times New Roman"/>
        <family val="1"/>
      </rPr>
      <t>OFF</t>
    </r>
    <r>
      <rPr>
        <sz val="9.5"/>
        <rFont val="Times New Roman"/>
        <family val="1"/>
      </rPr>
      <t xml:space="preserve"> = 1/PEF</t>
    </r>
    <r>
      <rPr>
        <vertAlign val="subscript"/>
        <sz val="9.5"/>
        <rFont val="Times New Roman"/>
        <family val="1"/>
      </rPr>
      <t>OFF</t>
    </r>
  </si>
  <si>
    <t>m/day</t>
  </si>
  <si>
    <r>
      <t>PEF</t>
    </r>
    <r>
      <rPr>
        <b/>
        <vertAlign val="subscript"/>
        <sz val="10"/>
        <rFont val="Times New Roman"/>
        <family val="1"/>
      </rPr>
      <t>Onsite Resident</t>
    </r>
  </si>
  <si>
    <r>
      <t>(5) From USEPA 2002 - PEF</t>
    </r>
    <r>
      <rPr>
        <vertAlign val="subscript"/>
        <sz val="9.5"/>
        <rFont val="Times New Roman"/>
        <family val="1"/>
      </rPr>
      <t>Worker</t>
    </r>
    <r>
      <rPr>
        <sz val="9.5"/>
        <rFont val="Times New Roman"/>
        <family val="1"/>
      </rPr>
      <t xml:space="preserve"> = Q/C</t>
    </r>
    <r>
      <rPr>
        <vertAlign val="subscript"/>
        <sz val="9.5"/>
        <rFont val="Times New Roman"/>
        <family val="1"/>
      </rPr>
      <t>wind</t>
    </r>
    <r>
      <rPr>
        <sz val="9.5"/>
        <rFont val="Times New Roman"/>
        <family val="1"/>
      </rPr>
      <t xml:space="preserve"> * (3600/(0.036*(1-V)*((U</t>
    </r>
    <r>
      <rPr>
        <vertAlign val="subscript"/>
        <sz val="9.5"/>
        <rFont val="Times New Roman"/>
        <family val="1"/>
      </rPr>
      <t>m</t>
    </r>
    <r>
      <rPr>
        <sz val="9.5"/>
        <rFont val="Times New Roman"/>
        <family val="1"/>
      </rPr>
      <t>/U</t>
    </r>
    <r>
      <rPr>
        <vertAlign val="subscript"/>
        <sz val="9.5"/>
        <rFont val="Times New Roman"/>
        <family val="1"/>
      </rPr>
      <t>t</t>
    </r>
    <r>
      <rPr>
        <sz val="9.5"/>
        <rFont val="Times New Roman"/>
        <family val="1"/>
      </rPr>
      <t>)^3)*F(x)))</t>
    </r>
  </si>
  <si>
    <r>
      <t>(25) D</t>
    </r>
    <r>
      <rPr>
        <vertAlign val="subscript"/>
        <sz val="9.5"/>
        <rFont val="Times New Roman"/>
        <family val="1"/>
      </rPr>
      <t>construct</t>
    </r>
    <r>
      <rPr>
        <sz val="9.5"/>
        <rFont val="Times New Roman"/>
        <family val="1"/>
      </rPr>
      <t xml:space="preserve"> = 1/PEF</t>
    </r>
    <r>
      <rPr>
        <vertAlign val="subscript"/>
        <sz val="9.5"/>
        <rFont val="Times New Roman"/>
        <family val="1"/>
      </rPr>
      <t>sc_total</t>
    </r>
    <r>
      <rPr>
        <sz val="9.5"/>
        <rFont val="Times New Roman"/>
        <family val="1"/>
      </rPr>
      <t>.</t>
    </r>
  </si>
  <si>
    <t>Note that inputs in these worksheets that have a dark green background must be provided site specifically (e.g., Areal extent of site surface contamination in Cell D50 on this worksheet).</t>
    <phoneticPr fontId="57" type="noConversion"/>
  </si>
  <si>
    <t>Inputs that have no fill for background should not be changed.</t>
    <phoneticPr fontId="57" type="noConversion"/>
  </si>
  <si>
    <t>Input for number of structures is in worksheet 'Data and Analytical Sensitivity', and are calculated based on site data</t>
    <phoneticPr fontId="57" type="noConversion"/>
  </si>
  <si>
    <t>Input for AS is in worksheet 'Data and Analytical Sensitivity', and is calculated based on site data</t>
    <phoneticPr fontId="57" type="noConversion"/>
  </si>
  <si>
    <r>
      <t>D</t>
    </r>
    <r>
      <rPr>
        <b/>
        <vertAlign val="subscript"/>
        <sz val="10"/>
        <rFont val="Times New Roman"/>
        <family val="1"/>
      </rPr>
      <t>Onsite Resident</t>
    </r>
  </si>
  <si>
    <t>PARTICULATE EMISSION FACTOR (PEF) FOR ONSITE RESIDENTIAL SCENARIO</t>
  </si>
  <si>
    <r>
      <t>(5) From USEPA 2002 - PEF</t>
    </r>
    <r>
      <rPr>
        <vertAlign val="subscript"/>
        <sz val="9.5"/>
        <rFont val="Times New Roman"/>
        <family val="1"/>
      </rPr>
      <t>Onsite Resident</t>
    </r>
    <r>
      <rPr>
        <sz val="9.5"/>
        <rFont val="Times New Roman"/>
        <family val="1"/>
      </rPr>
      <t xml:space="preserve"> = Q/C</t>
    </r>
    <r>
      <rPr>
        <vertAlign val="subscript"/>
        <sz val="9.5"/>
        <rFont val="Times New Roman"/>
        <family val="1"/>
      </rPr>
      <t>wind</t>
    </r>
    <r>
      <rPr>
        <sz val="9.5"/>
        <rFont val="Times New Roman"/>
        <family val="1"/>
      </rPr>
      <t xml:space="preserve"> * (3600/(0.036*(1-V)*((U</t>
    </r>
    <r>
      <rPr>
        <vertAlign val="subscript"/>
        <sz val="9.5"/>
        <rFont val="Times New Roman"/>
        <family val="1"/>
      </rPr>
      <t>m</t>
    </r>
    <r>
      <rPr>
        <sz val="9.5"/>
        <rFont val="Times New Roman"/>
        <family val="1"/>
      </rPr>
      <t>/U</t>
    </r>
    <r>
      <rPr>
        <vertAlign val="subscript"/>
        <sz val="9.5"/>
        <rFont val="Times New Roman"/>
        <family val="1"/>
      </rPr>
      <t>t</t>
    </r>
    <r>
      <rPr>
        <sz val="9.5"/>
        <rFont val="Times New Roman"/>
        <family val="1"/>
      </rPr>
      <t>)^3)*F(x)))</t>
    </r>
  </si>
  <si>
    <t>Parameters and Calculation of Total Outdoor Ambient Air Dust Concentration</t>
  </si>
  <si>
    <t>Asbestos Risk Calculations</t>
  </si>
  <si>
    <r>
      <t>(17) From USEPA 2002 - PEF</t>
    </r>
    <r>
      <rPr>
        <vertAlign val="subscript"/>
        <sz val="9.5"/>
        <rFont val="Times New Roman"/>
        <family val="1"/>
      </rPr>
      <t>sc</t>
    </r>
    <r>
      <rPr>
        <sz val="9.5"/>
        <rFont val="Times New Roman"/>
        <family val="1"/>
      </rPr>
      <t xml:space="preserve"> = Q/C</t>
    </r>
    <r>
      <rPr>
        <vertAlign val="subscript"/>
        <sz val="9.5"/>
        <rFont val="Times New Roman"/>
        <family val="1"/>
      </rPr>
      <t>sa</t>
    </r>
    <r>
      <rPr>
        <sz val="9.5"/>
        <rFont val="Times New Roman"/>
        <family val="1"/>
      </rPr>
      <t xml:space="preserve"> </t>
    </r>
    <r>
      <rPr>
        <sz val="9.5"/>
        <rFont val="Symbol"/>
        <family val="1"/>
      </rPr>
      <t>´</t>
    </r>
    <r>
      <rPr>
        <sz val="9.5"/>
        <rFont val="Times New Roman"/>
        <family val="1"/>
      </rPr>
      <t xml:space="preserve"> (1/F</t>
    </r>
    <r>
      <rPr>
        <vertAlign val="subscript"/>
        <sz val="9.5"/>
        <rFont val="Times New Roman"/>
        <family val="1"/>
      </rPr>
      <t>D</t>
    </r>
    <r>
      <rPr>
        <sz val="9.5"/>
        <rFont val="Times New Roman"/>
        <family val="1"/>
      </rPr>
      <t xml:space="preserve">) </t>
    </r>
    <r>
      <rPr>
        <sz val="9.5"/>
        <rFont val="Symbol"/>
        <family val="1"/>
      </rPr>
      <t>´</t>
    </r>
    <r>
      <rPr>
        <sz val="9.5"/>
        <rFont val="Times New Roman"/>
        <family val="1"/>
      </rPr>
      <t xml:space="preserve"> (1/J'</t>
    </r>
    <r>
      <rPr>
        <vertAlign val="subscript"/>
        <sz val="9.5"/>
        <rFont val="Times New Roman"/>
        <family val="1"/>
      </rPr>
      <t>T</t>
    </r>
    <r>
      <rPr>
        <sz val="9.5"/>
        <rFont val="Times New Roman"/>
        <family val="1"/>
      </rPr>
      <t>).</t>
    </r>
  </si>
  <si>
    <t>target risk (TR)</t>
  </si>
  <si>
    <t>hr/day</t>
  </si>
  <si>
    <t>Onsite Resident</t>
  </si>
  <si>
    <t>1- (Upper Confidence Percentile)</t>
  </si>
  <si>
    <t>fiber count</t>
  </si>
  <si>
    <t>Poisson 95UCL of fiber count</t>
  </si>
  <si>
    <t>Zero Measured Fibers</t>
  </si>
  <si>
    <t>One Measured Fiber</t>
  </si>
  <si>
    <t>Two Measured Fibers</t>
  </si>
  <si>
    <t>BCL</t>
    <phoneticPr fontId="57" type="noConversion"/>
  </si>
  <si>
    <r>
      <t>Fugitive dust from excavation soil dumping</t>
    </r>
    <r>
      <rPr>
        <b/>
        <vertAlign val="superscript"/>
        <sz val="10"/>
        <rFont val="Times New Roman"/>
        <family val="1"/>
      </rPr>
      <t>(6)</t>
    </r>
  </si>
  <si>
    <r>
      <t>In situ wet soil bulk density</t>
    </r>
    <r>
      <rPr>
        <vertAlign val="superscript"/>
        <sz val="10"/>
        <rFont val="Times New Roman"/>
        <family val="1"/>
      </rPr>
      <t>(7)</t>
    </r>
  </si>
  <si>
    <t>Note: These values are taken from the receptor-specific PEF spreadsheets</t>
  </si>
  <si>
    <t>Pooled Analytical Sensitivity = 1 x (1/ Σ(1/single sample analytical sensitivity))</t>
  </si>
  <si>
    <t>Number of vehicles for duration of construction</t>
  </si>
  <si>
    <r>
      <t>N</t>
    </r>
    <r>
      <rPr>
        <vertAlign val="subscript"/>
        <sz val="10"/>
        <rFont val="Times New Roman"/>
        <family val="1"/>
      </rPr>
      <t>V</t>
    </r>
  </si>
  <si>
    <t>vehicles</t>
  </si>
  <si>
    <t>Length of road traveled per day</t>
  </si>
  <si>
    <r>
      <t>L</t>
    </r>
    <r>
      <rPr>
        <vertAlign val="subscript"/>
        <sz val="10"/>
        <rFont val="Times New Roman"/>
        <family val="1"/>
      </rPr>
      <t>D</t>
    </r>
  </si>
  <si>
    <t>(8) This value can change based on site specific characteristics</t>
    <phoneticPr fontId="57" type="noConversion"/>
  </si>
  <si>
    <t>(4) Site area - this value can change based on site characteristics (change in Risk_Calculations tab)</t>
    <phoneticPr fontId="57" type="noConversion"/>
  </si>
  <si>
    <t>(3) Site area - this value can change based on site characteristics (Change in Risk_Calculations tab)</t>
    <phoneticPr fontId="57" type="noConversion"/>
  </si>
  <si>
    <t>Refer to NDEP Guidance document for detailed explanation</t>
    <phoneticPr fontId="57" type="noConversion"/>
  </si>
  <si>
    <t>Other inputs come from the supporting worksheets.  For example, there is a supporting worksheet for calculation of PEFs for each scenario, and QC input constants are provided in the 'QC Equation Constants' worksheet.</t>
    <phoneticPr fontId="57" type="noConversion"/>
  </si>
  <si>
    <r>
      <t>(19) From USEPA 2002 - A</t>
    </r>
    <r>
      <rPr>
        <vertAlign val="subscript"/>
        <sz val="9.5"/>
        <rFont val="Times New Roman"/>
        <family val="1"/>
      </rPr>
      <t>R</t>
    </r>
    <r>
      <rPr>
        <sz val="9.5"/>
        <rFont val="Times New Roman"/>
        <family val="1"/>
      </rPr>
      <t xml:space="preserve"> = L</t>
    </r>
    <r>
      <rPr>
        <vertAlign val="subscript"/>
        <sz val="9.5"/>
        <rFont val="Times New Roman"/>
        <family val="1"/>
      </rPr>
      <t>R</t>
    </r>
    <r>
      <rPr>
        <sz val="9.5"/>
        <rFont val="Times New Roman"/>
        <family val="1"/>
      </rPr>
      <t xml:space="preserve"> </t>
    </r>
    <r>
      <rPr>
        <sz val="9.5"/>
        <rFont val="Symbol"/>
        <family val="1"/>
      </rPr>
      <t>´</t>
    </r>
    <r>
      <rPr>
        <sz val="9.5"/>
        <rFont val="Times New Roman"/>
        <family val="1"/>
      </rPr>
      <t xml:space="preserve"> W</t>
    </r>
    <r>
      <rPr>
        <vertAlign val="subscript"/>
        <sz val="9.5"/>
        <rFont val="Times New Roman"/>
        <family val="1"/>
      </rPr>
      <t xml:space="preserve">R </t>
    </r>
    <r>
      <rPr>
        <sz val="9.5"/>
        <rFont val="Times New Roman"/>
        <family val="1"/>
      </rPr>
      <t>* 0.092903 m2/ft2</t>
    </r>
  </si>
  <si>
    <r>
      <t>Road surface silt content %</t>
    </r>
    <r>
      <rPr>
        <vertAlign val="superscript"/>
        <sz val="10"/>
        <rFont val="Times New Roman"/>
        <family val="1"/>
      </rPr>
      <t>(17)</t>
    </r>
  </si>
  <si>
    <r>
      <t>Road surface material moisture content under dry, uncontrollable conditions</t>
    </r>
    <r>
      <rPr>
        <vertAlign val="superscript"/>
        <sz val="10"/>
        <rFont val="Times New Roman"/>
        <family val="1"/>
      </rPr>
      <t>(17)</t>
    </r>
  </si>
  <si>
    <t>Asbestos data should be input by the user in the worksheet 'Data and Analytical Sensitivity' - if the data are entered properly, then the pooled analytical sensitivity and the number of fibers are brought into this worksheet.</t>
    <phoneticPr fontId="57" type="noConversion"/>
  </si>
  <si>
    <t>The worksheet 'BCL Asbestos' is, instead, a planning worksheet.  The number of asbestos samples needed to satisfy some DQO constraints can be calculated using this worksheet.</t>
    <phoneticPr fontId="57" type="noConversion"/>
  </si>
  <si>
    <t>Footnotes in the PEF spreadsheets that have a yellow background indicate variables that can be changed if site specific information is available.</t>
    <phoneticPr fontId="57" type="noConversion"/>
  </si>
  <si>
    <t>This worksheet presents calculation of asbestos related risks.  Some inputs are contained in this worksheet, such as URFs and exposure parameters.</t>
    <phoneticPr fontId="57" type="noConversion"/>
  </si>
  <si>
    <t>Exposure Parameter References</t>
    <phoneticPr fontId="57" type="noConversion"/>
  </si>
  <si>
    <t>Refer to NDEP Guidance document for detailed explanation</t>
    <phoneticPr fontId="57" type="noConversion"/>
  </si>
  <si>
    <r>
      <rPr>
        <sz val="9.5"/>
        <rFont val="Times New Roman"/>
        <family val="1"/>
      </rPr>
      <t>(19)</t>
    </r>
    <r>
      <rPr>
        <vertAlign val="superscript"/>
        <sz val="9.5"/>
        <rFont val="Times New Roman"/>
        <family val="1"/>
      </rPr>
      <t xml:space="preserve"> </t>
    </r>
    <r>
      <rPr>
        <sz val="9.5"/>
        <rFont val="Times New Roman"/>
        <family val="1"/>
      </rPr>
      <t>From USEPA 2002 - M</t>
    </r>
    <r>
      <rPr>
        <vertAlign val="subscript"/>
        <sz val="9.5"/>
        <rFont val="Times New Roman"/>
        <family val="1"/>
      </rPr>
      <t xml:space="preserve">road </t>
    </r>
    <r>
      <rPr>
        <sz val="9.5"/>
        <rFont val="Times New Roman"/>
        <family val="1"/>
      </rPr>
      <t>= [2.6</t>
    </r>
    <r>
      <rPr>
        <sz val="9.5"/>
        <rFont val="Symbol"/>
        <family val="1"/>
      </rPr>
      <t xml:space="preserve"> ´ </t>
    </r>
    <r>
      <rPr>
        <sz val="9.5"/>
        <rFont val="Times New Roman"/>
        <family val="1"/>
      </rPr>
      <t>(s/12)</t>
    </r>
    <r>
      <rPr>
        <vertAlign val="superscript"/>
        <sz val="9.5"/>
        <rFont val="Times New Roman"/>
        <family val="1"/>
      </rPr>
      <t>0.8</t>
    </r>
    <r>
      <rPr>
        <sz val="9.5"/>
        <rFont val="Times New Roman"/>
        <family val="1"/>
      </rPr>
      <t xml:space="preserve"> </t>
    </r>
    <r>
      <rPr>
        <sz val="9.5"/>
        <rFont val="Symbol"/>
        <family val="1"/>
      </rPr>
      <t>´</t>
    </r>
    <r>
      <rPr>
        <sz val="9.5"/>
        <rFont val="Times New Roman"/>
        <family val="1"/>
      </rPr>
      <t xml:space="preserve"> (W/3)</t>
    </r>
    <r>
      <rPr>
        <vertAlign val="superscript"/>
        <sz val="9.5"/>
        <rFont val="Times New Roman"/>
        <family val="1"/>
      </rPr>
      <t>0.4</t>
    </r>
    <r>
      <rPr>
        <sz val="9.5"/>
        <rFont val="Times New Roman"/>
        <family val="1"/>
      </rPr>
      <t>/(M/0.2)</t>
    </r>
    <r>
      <rPr>
        <vertAlign val="superscript"/>
        <sz val="9.5"/>
        <rFont val="Times New Roman"/>
        <family val="1"/>
      </rPr>
      <t>0.3</t>
    </r>
    <r>
      <rPr>
        <sz val="9.5"/>
        <rFont val="Times New Roman"/>
        <family val="1"/>
      </rPr>
      <t xml:space="preserve">] </t>
    </r>
    <r>
      <rPr>
        <sz val="9.5"/>
        <rFont val="Symbol"/>
        <family val="1"/>
      </rPr>
      <t>´</t>
    </r>
    <r>
      <rPr>
        <sz val="9.5"/>
        <rFont val="Times New Roman"/>
        <family val="1"/>
      </rPr>
      <t xml:space="preserve"> [(365-p)/365] </t>
    </r>
    <r>
      <rPr>
        <sz val="9.5"/>
        <rFont val="Symbol"/>
        <family val="1"/>
      </rPr>
      <t>´</t>
    </r>
    <r>
      <rPr>
        <sz val="9.5"/>
        <rFont val="Times New Roman"/>
        <family val="1"/>
      </rPr>
      <t xml:space="preserve"> 281.9 </t>
    </r>
    <r>
      <rPr>
        <sz val="9.5"/>
        <rFont val="Symbol"/>
        <family val="1"/>
      </rPr>
      <t>´</t>
    </r>
    <r>
      <rPr>
        <sz val="9.5"/>
        <rFont val="Times New Roman"/>
        <family val="1"/>
      </rPr>
      <t xml:space="preserve"> </t>
    </r>
    <r>
      <rPr>
        <sz val="9.5"/>
        <rFont val="Arial"/>
        <family val="2"/>
      </rPr>
      <t>∑</t>
    </r>
    <r>
      <rPr>
        <sz val="9.5"/>
        <rFont val="Times New Roman"/>
        <family val="1"/>
      </rPr>
      <t>VKT</t>
    </r>
    <r>
      <rPr>
        <vertAlign val="subscript"/>
        <sz val="9.5"/>
        <rFont val="Times New Roman"/>
        <family val="1"/>
      </rPr>
      <t>road</t>
    </r>
  </si>
  <si>
    <r>
      <t>Fugitive Dust from Traffic on Unpaved Roads</t>
    </r>
    <r>
      <rPr>
        <b/>
        <vertAlign val="superscript"/>
        <sz val="10"/>
        <rFont val="Times New Roman"/>
        <family val="1"/>
      </rPr>
      <t>(19)</t>
    </r>
  </si>
  <si>
    <r>
      <t>(20) PEF</t>
    </r>
    <r>
      <rPr>
        <vertAlign val="subscript"/>
        <sz val="9.5"/>
        <rFont val="Times New Roman"/>
        <family val="1"/>
      </rPr>
      <t>OFF</t>
    </r>
    <r>
      <rPr>
        <sz val="9.5"/>
        <rFont val="Times New Roman"/>
        <family val="1"/>
      </rPr>
      <t xml:space="preserve"> = Q/C</t>
    </r>
    <r>
      <rPr>
        <vertAlign val="subscript"/>
        <sz val="9.5"/>
        <rFont val="Times New Roman"/>
        <family val="1"/>
      </rPr>
      <t>OFF</t>
    </r>
    <r>
      <rPr>
        <sz val="9.5"/>
        <rFont val="Times New Roman"/>
        <family val="1"/>
      </rPr>
      <t xml:space="preserve"> *(1/J'</t>
    </r>
    <r>
      <rPr>
        <vertAlign val="subscript"/>
        <sz val="9.5"/>
        <rFont val="Times New Roman"/>
        <family val="1"/>
      </rPr>
      <t>T OFF</t>
    </r>
    <r>
      <rPr>
        <sz val="9.5"/>
        <rFont val="Times New Roman"/>
        <family val="1"/>
      </rPr>
      <t>)</t>
    </r>
  </si>
  <si>
    <r>
      <t>Offsite PEF</t>
    </r>
    <r>
      <rPr>
        <b/>
        <vertAlign val="superscript"/>
        <sz val="10"/>
        <rFont val="Times New Roman"/>
        <family val="1"/>
      </rPr>
      <t>(20)</t>
    </r>
  </si>
  <si>
    <r>
      <t>Total outdoor ambient air dust concentration</t>
    </r>
    <r>
      <rPr>
        <b/>
        <vertAlign val="superscript"/>
        <sz val="10"/>
        <rFont val="Times New Roman"/>
        <family val="1"/>
      </rPr>
      <t>(21)</t>
    </r>
  </si>
  <si>
    <r>
      <t>(6) D</t>
    </r>
    <r>
      <rPr>
        <vertAlign val="subscript"/>
        <sz val="9.5"/>
        <rFont val="Times New Roman"/>
        <family val="1"/>
      </rPr>
      <t>Onsite Resident</t>
    </r>
    <r>
      <rPr>
        <sz val="9.5"/>
        <rFont val="Times New Roman"/>
        <family val="1"/>
      </rPr>
      <t xml:space="preserve"> = 1/PEF</t>
    </r>
    <r>
      <rPr>
        <vertAlign val="subscript"/>
        <sz val="9.5"/>
        <rFont val="Times New Roman"/>
        <family val="1"/>
      </rPr>
      <t>Onsite Resident</t>
    </r>
  </si>
  <si>
    <t>Particulate Emission Factor (PEF)</t>
  </si>
  <si>
    <t>EF:  USEPA (2014).  EF for generic worker (250 d/yr) applied to Construction because it is larger than that for Outdoor Worker (225 d/yr).</t>
  </si>
  <si>
    <t>ED:  USEPA (2014).</t>
  </si>
  <si>
    <r>
      <t>ET</t>
    </r>
    <r>
      <rPr>
        <vertAlign val="subscript"/>
        <sz val="11"/>
        <color theme="1"/>
        <rFont val="Calibri"/>
        <family val="2"/>
        <scheme val="minor"/>
      </rPr>
      <t>in</t>
    </r>
    <r>
      <rPr>
        <sz val="11"/>
        <color theme="1"/>
        <rFont val="Calibri"/>
        <family val="2"/>
        <scheme val="minor"/>
      </rPr>
      <t>:  An 8-hour workday is assumed for the occupational scenarios (USEPA, 2014).  Resident: unweighted average adult age categories 16 to &gt;64 years (USEPA 2011; Table ES-1).</t>
    </r>
  </si>
  <si>
    <r>
      <t>ET</t>
    </r>
    <r>
      <rPr>
        <vertAlign val="subscript"/>
        <sz val="11"/>
        <color theme="1"/>
        <rFont val="Calibri"/>
        <family val="2"/>
        <scheme val="minor"/>
      </rPr>
      <t>out</t>
    </r>
    <r>
      <rPr>
        <sz val="11"/>
        <color theme="1"/>
        <rFont val="Calibri"/>
        <family val="2"/>
        <scheme val="minor"/>
      </rPr>
      <t>:  An 8-hour workday is assumed for the occupational scenarios (USEPA, 2014).  24 hr/day exposure is assumed for a resident (USEPA, 2014).</t>
    </r>
  </si>
  <si>
    <r>
      <t>ATT</t>
    </r>
    <r>
      <rPr>
        <vertAlign val="subscript"/>
        <sz val="11"/>
        <color theme="1"/>
        <rFont val="Calibri"/>
        <family val="2"/>
        <scheme val="minor"/>
      </rPr>
      <t>in</t>
    </r>
    <r>
      <rPr>
        <sz val="11"/>
        <color theme="1"/>
        <rFont val="Calibri"/>
        <family val="2"/>
        <scheme val="minor"/>
      </rPr>
      <t>: USEPA (2000), Section 2.3.</t>
    </r>
  </si>
  <si>
    <r>
      <t>Indoor Exposure Time (ET</t>
    </r>
    <r>
      <rPr>
        <vertAlign val="subscript"/>
        <sz val="11"/>
        <color indexed="8"/>
        <rFont val="Calibri"/>
        <family val="2"/>
      </rPr>
      <t>in</t>
    </r>
    <r>
      <rPr>
        <sz val="11"/>
        <color theme="1"/>
        <rFont val="Calibri"/>
        <family val="2"/>
        <scheme val="minor"/>
      </rPr>
      <t>)</t>
    </r>
  </si>
  <si>
    <r>
      <t>Outdoor Exposure Time (ET</t>
    </r>
    <r>
      <rPr>
        <vertAlign val="subscript"/>
        <sz val="11"/>
        <color indexed="8"/>
        <rFont val="Calibri"/>
        <family val="2"/>
      </rPr>
      <t>out</t>
    </r>
    <r>
      <rPr>
        <sz val="11"/>
        <color theme="1"/>
        <rFont val="Calibri"/>
        <family val="2"/>
        <scheme val="minor"/>
      </rPr>
      <t>)</t>
    </r>
  </si>
  <si>
    <r>
      <t>Weighted Exposure Time (ET</t>
    </r>
    <r>
      <rPr>
        <vertAlign val="subscript"/>
        <sz val="11"/>
        <color theme="1"/>
        <rFont val="Calibri"/>
        <family val="2"/>
        <scheme val="minor"/>
      </rPr>
      <t>wtd</t>
    </r>
    <r>
      <rPr>
        <sz val="11"/>
        <color theme="1"/>
        <rFont val="Calibri"/>
        <family val="2"/>
        <scheme val="minor"/>
      </rPr>
      <t>)</t>
    </r>
  </si>
  <si>
    <t>USEPA 2011. Exposure Factors Handbook: 2011 Edition, EPA/600/R 090/052F</t>
  </si>
  <si>
    <t>USEPA 2000. Soil Screening Guidance for Radionuclides: Technical Background Document, EPA/540-R-00-006</t>
  </si>
  <si>
    <t>USEPA 2014. Human Health Evaluation Manual, Supplemental Guidance: Update of Standard Default Exposure Factors, OSWER Directive 9200.1-120</t>
  </si>
  <si>
    <t>Length of human lifetime (years)</t>
  </si>
  <si>
    <r>
      <t>Appendix E unit risk equation:  UR</t>
    </r>
    <r>
      <rPr>
        <vertAlign val="subscript"/>
        <sz val="11"/>
        <color theme="1"/>
        <rFont val="Calibri"/>
        <family val="2"/>
        <scheme val="minor"/>
      </rPr>
      <t>a,d</t>
    </r>
    <r>
      <rPr>
        <sz val="11"/>
        <color theme="1"/>
        <rFont val="Calibri"/>
        <family val="2"/>
        <scheme val="minor"/>
      </rPr>
      <t xml:space="preserve">  =  k1 </t>
    </r>
    <r>
      <rPr>
        <sz val="11"/>
        <color theme="1"/>
        <rFont val="Calibri"/>
        <family val="2"/>
      </rPr>
      <t>× [1 - exp(-k2 × d)]</t>
    </r>
  </si>
  <si>
    <t>equation fitting parameters</t>
  </si>
  <si>
    <t>age of onset (a) and exposure duration (d)</t>
  </si>
  <si>
    <t>b1</t>
  </si>
  <si>
    <t>b2</t>
  </si>
  <si>
    <t>a (yr)</t>
  </si>
  <si>
    <t>b3</t>
  </si>
  <si>
    <t>d (yr)</t>
  </si>
  <si>
    <t>b4</t>
  </si>
  <si>
    <t>b5</t>
  </si>
  <si>
    <t>k1</t>
  </si>
  <si>
    <t>b6</t>
  </si>
  <si>
    <t>k2</t>
  </si>
  <si>
    <t>USEPA 2008a UNIT RISK CALCULATION</t>
  </si>
  <si>
    <t>Commercial/ Industrial</t>
  </si>
  <si>
    <t>OnSite Resident</t>
  </si>
  <si>
    <t>OffSite Resident</t>
  </si>
  <si>
    <t>PCMe Asbestos</t>
  </si>
  <si>
    <t>PCMe</t>
  </si>
  <si>
    <t>PCMe Structures</t>
  </si>
  <si>
    <t>Number of PCMe fibers</t>
  </si>
  <si>
    <t>PCMe Fibers</t>
  </si>
  <si>
    <t>length &gt;5µm; width &gt;=0.25µm and &lt;=3µm; aspect ratio &gt;=3:1</t>
  </si>
  <si>
    <t>PCMe IUR</t>
  </si>
  <si>
    <t>minimum sample size; PCMe</t>
  </si>
  <si>
    <t>These are the only fibers applicable to asbestos risk assessment based on EPA's Framework for Investigating Asbestos-Contaminated Superfund Sites (EPA 2008a).</t>
  </si>
  <si>
    <t xml:space="preserve">Note that only PCMe fibers are addressed in this worksheet.  </t>
  </si>
  <si>
    <t>Sample specific analytical sensitivity is input in Cell A29.  It is assumed that the same AS applies to each sample.</t>
  </si>
  <si>
    <t>Target risk thresholds are input in Row 6 for the 4 different scenarios.  These can be changed site specifically only with concurrence from NDEP.</t>
  </si>
  <si>
    <t>USEPA 2008a: Framework for Investigating Asbestos-Contaminated Superfund Sites, Office of Solid Waste and Emergency Response, # 9200.0-68, U.S. Environmental Protection Agency, Washington, D.C.</t>
  </si>
  <si>
    <t>Exposure Parameter</t>
  </si>
  <si>
    <t>Inputs that have a light green background can be changed with concurrence from NDEP (e.g., Exposure parameters in rows 41-46 of this worksheet).</t>
  </si>
  <si>
    <t>PCMe unit risk (risk / f/cc):</t>
  </si>
  <si>
    <r>
      <t>cm</t>
    </r>
    <r>
      <rPr>
        <vertAlign val="superscript"/>
        <sz val="11"/>
        <rFont val="Calibri"/>
        <family val="2"/>
      </rPr>
      <t>3</t>
    </r>
    <r>
      <rPr>
        <sz val="11"/>
        <rFont val="Calibri"/>
        <family val="2"/>
      </rPr>
      <t>/g</t>
    </r>
  </si>
  <si>
    <r>
      <t>Unit conversion (cm</t>
    </r>
    <r>
      <rPr>
        <vertAlign val="superscript"/>
        <sz val="11"/>
        <color theme="1"/>
        <rFont val="Calibri"/>
        <family val="2"/>
        <scheme val="minor"/>
      </rPr>
      <t>3</t>
    </r>
    <r>
      <rPr>
        <sz val="11"/>
        <color theme="1"/>
        <rFont val="Calibri"/>
        <family val="2"/>
        <scheme val="minor"/>
      </rPr>
      <t xml:space="preserve"> / m</t>
    </r>
    <r>
      <rPr>
        <vertAlign val="superscript"/>
        <sz val="11"/>
        <color theme="1"/>
        <rFont val="Calibri"/>
        <family val="2"/>
        <scheme val="minor"/>
      </rPr>
      <t>3</t>
    </r>
    <r>
      <rPr>
        <sz val="11"/>
        <color theme="1"/>
        <rFont val="Calibri"/>
        <family val="2"/>
        <scheme val="minor"/>
      </rPr>
      <t>)</t>
    </r>
  </si>
  <si>
    <t>Unit conversion (kg /g)</t>
  </si>
  <si>
    <t>average lifespan:  USEPA (2014).</t>
  </si>
  <si>
    <t>Weighted Indoor and Outdoor Time of Exposure (ET)</t>
  </si>
  <si>
    <t>IUR values are referenced to worksheet 'IUR Calculation'.</t>
  </si>
  <si>
    <r>
      <t>f/cm</t>
    </r>
    <r>
      <rPr>
        <vertAlign val="superscript"/>
        <sz val="11"/>
        <color theme="1"/>
        <rFont val="Calibri"/>
        <family val="2"/>
        <scheme val="minor"/>
      </rPr>
      <t>3</t>
    </r>
  </si>
  <si>
    <r>
      <t xml:space="preserve"> Risk = (C</t>
    </r>
    <r>
      <rPr>
        <b/>
        <i/>
        <vertAlign val="subscript"/>
        <sz val="14"/>
        <color indexed="8"/>
        <rFont val="Calibri"/>
        <family val="2"/>
      </rPr>
      <t>soil</t>
    </r>
    <r>
      <rPr>
        <b/>
        <i/>
        <sz val="14"/>
        <color rgb="FF000000"/>
        <rFont val="Calibri"/>
        <family val="2"/>
      </rPr>
      <t xml:space="preserve"> / PEF) </t>
    </r>
    <r>
      <rPr>
        <b/>
        <i/>
        <sz val="14"/>
        <color indexed="8"/>
        <rFont val="Calibri"/>
        <family val="2"/>
      </rPr>
      <t>* IUR * ( (ETout + (ETin * ATT</t>
    </r>
    <r>
      <rPr>
        <b/>
        <i/>
        <vertAlign val="subscript"/>
        <sz val="14"/>
        <color indexed="8"/>
        <rFont val="Calibri"/>
        <family val="2"/>
      </rPr>
      <t>in</t>
    </r>
    <r>
      <rPr>
        <b/>
        <i/>
        <sz val="14"/>
        <color indexed="8"/>
        <rFont val="Calibri"/>
        <family val="2"/>
      </rPr>
      <t>)) * EF / 8760 hr/yr )</t>
    </r>
  </si>
  <si>
    <t>Inputs for EF and ET are in worksheet 'Risk_Calculations'.</t>
  </si>
  <si>
    <t>used in tab BCL Asbestos</t>
  </si>
  <si>
    <t>Hours per year; for calculating Time Weighting Fraction</t>
  </si>
  <si>
    <t>hrs/year</t>
  </si>
  <si>
    <t>used in tabs IUR calculation and PEF calculations</t>
  </si>
  <si>
    <t>Enter site-specific data into this worksheet by replacing inputs in rows 15 through 38, adjusting the formulas in the calculations of Pooled Analytical Sensitivity and Numbers of PCMe fibers.</t>
  </si>
  <si>
    <r>
      <t xml:space="preserve">target pooled AS (= </t>
    </r>
    <r>
      <rPr>
        <i/>
        <sz val="11"/>
        <color theme="1"/>
        <rFont val="Calibri"/>
        <family val="2"/>
        <scheme val="minor"/>
      </rPr>
      <t>C</t>
    </r>
    <r>
      <rPr>
        <i/>
        <vertAlign val="subscript"/>
        <sz val="11"/>
        <color theme="1"/>
        <rFont val="Calibri"/>
        <family val="2"/>
        <scheme val="minor"/>
      </rPr>
      <t xml:space="preserve">soil </t>
    </r>
    <r>
      <rPr>
        <i/>
        <sz val="11"/>
        <color theme="1"/>
        <rFont val="Calibri"/>
        <family val="2"/>
        <scheme val="minor"/>
      </rPr>
      <t>/ f</t>
    </r>
    <r>
      <rPr>
        <i/>
        <vertAlign val="subscript"/>
        <sz val="11"/>
        <color theme="1"/>
        <rFont val="Calibri"/>
        <family val="2"/>
        <scheme val="minor"/>
      </rPr>
      <t>UCL</t>
    </r>
    <r>
      <rPr>
        <sz val="11"/>
        <color theme="1"/>
        <rFont val="Calibri"/>
        <family val="2"/>
        <scheme val="minor"/>
      </rPr>
      <t>)</t>
    </r>
  </si>
  <si>
    <r>
      <t>C</t>
    </r>
    <r>
      <rPr>
        <vertAlign val="subscript"/>
        <sz val="11"/>
        <color indexed="8"/>
        <rFont val="Calibri"/>
        <family val="2"/>
      </rPr>
      <t>soil</t>
    </r>
  </si>
  <si>
    <t>f /g soil</t>
  </si>
  <si>
    <t>Csoil = (TR*PEF) / (IUR*(ET*EF/8760 d/yr))</t>
  </si>
  <si>
    <t>Risk  =  (Csoil/PEF)*IUR*(ET*EF/8760 d/yr)</t>
  </si>
  <si>
    <t>(s/g soil)</t>
  </si>
  <si>
    <t>example 1</t>
  </si>
  <si>
    <t>example 2</t>
  </si>
  <si>
    <t>example 3</t>
  </si>
  <si>
    <t>example 4</t>
  </si>
  <si>
    <t>example 5</t>
  </si>
  <si>
    <t>example 6</t>
  </si>
  <si>
    <t>example 7</t>
  </si>
  <si>
    <t>example 8</t>
  </si>
  <si>
    <t>example 9</t>
  </si>
  <si>
    <t>example 10</t>
  </si>
  <si>
    <t>example 11</t>
  </si>
  <si>
    <t>example 12</t>
  </si>
  <si>
    <t>example 13</t>
  </si>
  <si>
    <t>example 14</t>
  </si>
  <si>
    <t>example 15</t>
  </si>
  <si>
    <t>example 16</t>
  </si>
  <si>
    <t>example 17</t>
  </si>
  <si>
    <t>example 18</t>
  </si>
  <si>
    <t>example 19</t>
  </si>
  <si>
    <t>example 20</t>
  </si>
  <si>
    <t>example 21</t>
  </si>
  <si>
    <t>example 22</t>
  </si>
  <si>
    <t>example 23</t>
  </si>
  <si>
    <t>example 24</t>
  </si>
  <si>
    <t>sample AS (f/g)</t>
  </si>
  <si>
    <t>f /g</t>
  </si>
  <si>
    <t>f/g</t>
  </si>
  <si>
    <r>
      <t xml:space="preserve"> Risk = (C</t>
    </r>
    <r>
      <rPr>
        <b/>
        <i/>
        <vertAlign val="subscript"/>
        <sz val="14"/>
        <color indexed="8"/>
        <rFont val="Calibri"/>
        <family val="2"/>
      </rPr>
      <t>soil</t>
    </r>
    <r>
      <rPr>
        <b/>
        <i/>
        <sz val="14"/>
        <color rgb="FF000000"/>
        <rFont val="Calibri"/>
        <family val="2"/>
      </rPr>
      <t xml:space="preserve"> / PEF) </t>
    </r>
    <r>
      <rPr>
        <b/>
        <i/>
        <sz val="14"/>
        <color indexed="8"/>
        <rFont val="Calibri"/>
        <family val="2"/>
      </rPr>
      <t>* IUR * TWF</t>
    </r>
  </si>
  <si>
    <r>
      <t xml:space="preserve"> Risk = C</t>
    </r>
    <r>
      <rPr>
        <b/>
        <i/>
        <vertAlign val="subscript"/>
        <sz val="14"/>
        <color indexed="8"/>
        <rFont val="Calibri"/>
        <family val="2"/>
      </rPr>
      <t>air</t>
    </r>
    <r>
      <rPr>
        <b/>
        <i/>
        <sz val="14"/>
        <color rgb="FF000000"/>
        <rFont val="Calibri"/>
        <family val="2"/>
      </rPr>
      <t xml:space="preserve"> </t>
    </r>
    <r>
      <rPr>
        <b/>
        <i/>
        <sz val="14"/>
        <color indexed="8"/>
        <rFont val="Calibri"/>
        <family val="2"/>
      </rPr>
      <t>* IUR * TWF</t>
    </r>
  </si>
  <si>
    <t>0.45 x 12.1</t>
  </si>
  <si>
    <t>0.31 x 28.26</t>
  </si>
  <si>
    <t>0.92 x 6.78</t>
  </si>
  <si>
    <t>(3) Based on long-term weather data for the area of interest - this value can change based on site specific characteristics. (Wind speed value of 3.3 m/s is annual average of 2013 - 2022 [https://www.weather.gov/media/vef/Average%20Wind%20Speed%20At%20Las%20Vegas%20By%20Month%20And%20Year.pdf])</t>
  </si>
  <si>
    <t>(2) Based on long-term weather data for the area of interest - this value can change based on site specific characteristics. (Wind speed value of 3.3 m/s is annual average of 2013 - 2022 [https://www.weather.gov/media/vef/Average%20Wind%20Speed%20At%20Las%20Vegas%20By%20Month%20And%20Year.pdf])</t>
  </si>
  <si>
    <t>(17) Average of site data in Table E4.</t>
  </si>
  <si>
    <t>(7) Average of historical data; this value can change based on site specific characteristics</t>
  </si>
  <si>
    <r>
      <t>Duration of constuction activities</t>
    </r>
    <r>
      <rPr>
        <vertAlign val="superscript"/>
        <sz val="10"/>
        <rFont val="Times New Roman"/>
        <family val="1"/>
      </rPr>
      <t>(5)</t>
    </r>
  </si>
  <si>
    <t>(5) Construction worker exposure duration used for length of construction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</si>
</sst>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E+0"/>
    <numFmt numFmtId="165" formatCode="0.0000"/>
    <numFmt numFmtId="166" formatCode="General_)"/>
    <numFmt numFmtId="167" formatCode="0.000"/>
    <numFmt numFmtId="168" formatCode="0.0E+00"/>
    <numFmt numFmtId="169" formatCode="0.0"/>
    <numFmt numFmtId="170" formatCode="0E+00"/>
  </numFmts>
  <fonts count="76" x14ac:knownFonts="1">
    <font>
      <sz val="11"/>
      <color theme="1"/>
      <name val="Calibri"/>
      <family val="2"/>
      <scheme val="minor"/>
    </font>
    <font>
      <b/>
      <sz val="11"/>
      <color indexed="8"/>
      <name val="Calibri"/>
      <family val="2"/>
    </font>
    <font>
      <vertAlign val="superscript"/>
      <sz val="11"/>
      <color indexed="8"/>
      <name val="Calibri"/>
      <family val="2"/>
    </font>
    <font>
      <vertAlign val="subscript"/>
      <sz val="11"/>
      <color indexed="8"/>
      <name val="Calibri"/>
      <family val="2"/>
    </font>
    <font>
      <i/>
      <sz val="11"/>
      <color indexed="8"/>
      <name val="Calibri"/>
      <family val="2"/>
    </font>
    <font>
      <sz val="10"/>
      <name val="MS Sans Serif"/>
      <family val="2"/>
    </font>
    <font>
      <b/>
      <sz val="10"/>
      <name val="Times New Roman"/>
      <family val="1"/>
    </font>
    <font>
      <sz val="10"/>
      <name val="Arial"/>
      <family val="2"/>
    </font>
    <font>
      <b/>
      <vertAlign val="superscript"/>
      <sz val="10"/>
      <name val="Times New Roman"/>
      <family val="1"/>
    </font>
    <font>
      <sz val="10"/>
      <name val="Times New Roman"/>
      <family val="1"/>
    </font>
    <font>
      <vertAlign val="subscript"/>
      <sz val="10"/>
      <name val="Times New Roman"/>
      <family val="1"/>
    </font>
    <font>
      <vertAlign val="superscript"/>
      <sz val="10"/>
      <name val="Times New Roman"/>
      <family val="1"/>
    </font>
    <font>
      <sz val="10"/>
      <name val="Symbol"/>
      <family val="1"/>
    </font>
    <font>
      <vertAlign val="superscript"/>
      <sz val="11.5"/>
      <name val="Times New Roman"/>
      <family val="1"/>
    </font>
    <font>
      <sz val="10"/>
      <color indexed="8"/>
      <name val="Times New Roman"/>
      <family val="1"/>
    </font>
    <font>
      <b/>
      <vertAlign val="subscript"/>
      <sz val="10"/>
      <name val="Times New Roman"/>
      <family val="1"/>
    </font>
    <font>
      <sz val="9.5"/>
      <name val="Times New Roman"/>
      <family val="1"/>
    </font>
    <font>
      <vertAlign val="subscript"/>
      <sz val="9.5"/>
      <name val="Times New Roman"/>
      <family val="1"/>
    </font>
    <font>
      <sz val="9.5"/>
      <name val="Symbol"/>
      <family val="1"/>
    </font>
    <font>
      <vertAlign val="superscript"/>
      <sz val="9.5"/>
      <name val="Times New Roman"/>
      <family val="1"/>
    </font>
    <font>
      <sz val="9"/>
      <name val="Times New Roman"/>
      <family val="1"/>
    </font>
    <font>
      <vertAlign val="superscript"/>
      <sz val="9"/>
      <name val="Times New Roman"/>
      <family val="1"/>
    </font>
    <font>
      <sz val="12"/>
      <name val="Courier"/>
      <family val="3"/>
    </font>
    <font>
      <sz val="9.5"/>
      <name val="Arial"/>
      <family val="2"/>
    </font>
    <font>
      <b/>
      <i/>
      <sz val="11"/>
      <color indexed="8"/>
      <name val="Calibri"/>
      <family val="2"/>
    </font>
    <font>
      <sz val="11"/>
      <name val="Calibri"/>
      <family val="2"/>
    </font>
    <font>
      <vertAlign val="superscript"/>
      <sz val="11"/>
      <name val="Calibri"/>
      <family val="2"/>
    </font>
    <font>
      <b/>
      <vertAlign val="subscript"/>
      <sz val="11"/>
      <color indexed="8"/>
      <name val="Calibri"/>
      <family val="2"/>
    </font>
    <font>
      <vertAlign val="superscript"/>
      <sz val="8"/>
      <color indexed="8"/>
      <name val="Calibri"/>
      <family val="2"/>
    </font>
    <font>
      <i/>
      <vertAlign val="subscript"/>
      <sz val="11"/>
      <color indexed="8"/>
      <name val="Calibri"/>
      <family val="2"/>
    </font>
    <font>
      <sz val="12"/>
      <name val="Times New Roman"/>
      <family val="1"/>
    </font>
    <font>
      <b/>
      <sz val="12"/>
      <name val="Times New Roman"/>
      <family val="1"/>
    </font>
    <font>
      <vertAlign val="superscript"/>
      <sz val="12"/>
      <name val="Times New Roman"/>
      <family val="1"/>
    </font>
    <font>
      <i/>
      <vertAlign val="superscript"/>
      <sz val="11"/>
      <color indexed="8"/>
      <name val="Calibri"/>
      <family val="2"/>
    </font>
    <font>
      <i/>
      <sz val="11"/>
      <name val="Calibri"/>
      <family val="2"/>
    </font>
    <font>
      <b/>
      <i/>
      <sz val="10"/>
      <name val="Times New Roman"/>
      <family val="1"/>
    </font>
    <font>
      <i/>
      <sz val="12"/>
      <color indexed="8"/>
      <name val="Calibri"/>
      <family val="2"/>
    </font>
    <font>
      <i/>
      <vertAlign val="superscript"/>
      <sz val="12"/>
      <color indexed="8"/>
      <name val="Calibri"/>
      <family val="2"/>
    </font>
    <font>
      <vertAlign val="superscript"/>
      <sz val="12"/>
      <color indexed="8"/>
      <name val="Calibri"/>
      <family val="2"/>
    </font>
    <font>
      <sz val="12"/>
      <color indexed="8"/>
      <name val="Calibri"/>
      <family val="2"/>
    </font>
    <font>
      <i/>
      <vertAlign val="subscript"/>
      <sz val="12"/>
      <color indexed="8"/>
      <name val="Calibri"/>
      <family val="2"/>
    </font>
    <font>
      <vertAlign val="subscript"/>
      <sz val="12"/>
      <color indexed="8"/>
      <name val="Calibri"/>
      <family val="2"/>
    </font>
    <font>
      <sz val="8"/>
      <color indexed="81"/>
      <name val="Tahoma"/>
      <family val="2"/>
    </font>
    <font>
      <b/>
      <sz val="8"/>
      <color indexed="81"/>
      <name val="Tahoma"/>
      <family val="2"/>
    </font>
    <font>
      <b/>
      <sz val="11"/>
      <color indexed="8"/>
      <name val="Calibri"/>
      <family val="2"/>
    </font>
    <font>
      <sz val="10"/>
      <color indexed="8"/>
      <name val="Times New Roman"/>
      <family val="1"/>
    </font>
    <font>
      <b/>
      <i/>
      <sz val="11"/>
      <color indexed="8"/>
      <name val="Calibri"/>
      <family val="2"/>
    </font>
    <font>
      <sz val="11"/>
      <name val="Calibri"/>
      <family val="2"/>
    </font>
    <font>
      <vertAlign val="superscript"/>
      <sz val="8"/>
      <color indexed="8"/>
      <name val="Calibri"/>
      <family val="2"/>
    </font>
    <font>
      <sz val="10"/>
      <color indexed="63"/>
      <name val="Cambria"/>
      <family val="1"/>
    </font>
    <font>
      <vertAlign val="superscript"/>
      <sz val="11"/>
      <color indexed="8"/>
      <name val="Calibri"/>
      <family val="2"/>
    </font>
    <font>
      <b/>
      <i/>
      <sz val="14"/>
      <color indexed="8"/>
      <name val="Calibri"/>
      <family val="2"/>
    </font>
    <font>
      <b/>
      <sz val="12"/>
      <color indexed="8"/>
      <name val="Calibri"/>
      <family val="2"/>
    </font>
    <font>
      <i/>
      <sz val="11"/>
      <color indexed="8"/>
      <name val="Calibri"/>
      <family val="2"/>
    </font>
    <font>
      <b/>
      <i/>
      <sz val="16"/>
      <color indexed="8"/>
      <name val="Calibri"/>
      <family val="2"/>
    </font>
    <font>
      <i/>
      <vertAlign val="superscript"/>
      <sz val="12"/>
      <color indexed="8"/>
      <name val="Calibri"/>
      <family val="2"/>
    </font>
    <font>
      <b/>
      <sz val="14"/>
      <color indexed="8"/>
      <name val="Calibri"/>
      <family val="2"/>
    </font>
    <font>
      <sz val="8"/>
      <name val="Verdana"/>
      <family val="2"/>
    </font>
    <font>
      <b/>
      <i/>
      <vertAlign val="subscript"/>
      <sz val="14"/>
      <color indexed="8"/>
      <name val="Calibri"/>
      <family val="2"/>
    </font>
    <font>
      <b/>
      <sz val="11"/>
      <color indexed="8"/>
      <name val="Calibri"/>
      <family val="2"/>
    </font>
    <font>
      <i/>
      <sz val="11"/>
      <color indexed="8"/>
      <name val="Calibri"/>
      <family val="2"/>
    </font>
    <font>
      <vertAlign val="superscript"/>
      <sz val="9"/>
      <color indexed="8"/>
      <name val="Calibri"/>
      <family val="2"/>
    </font>
    <font>
      <sz val="9"/>
      <color indexed="8"/>
      <name val="Calibri"/>
      <family val="2"/>
    </font>
    <font>
      <sz val="16"/>
      <color indexed="8"/>
      <name val="Calibri"/>
      <family val="2"/>
    </font>
    <font>
      <vertAlign val="subscript"/>
      <sz val="11"/>
      <name val="Calibri"/>
      <family val="2"/>
    </font>
    <font>
      <i/>
      <sz val="10"/>
      <name val="Times New Roman"/>
      <family val="1"/>
    </font>
    <font>
      <vertAlign val="subscript"/>
      <sz val="11"/>
      <color theme="1"/>
      <name val="Calibri"/>
      <family val="2"/>
      <scheme val="minor"/>
    </font>
    <font>
      <vertAlign val="superscript"/>
      <sz val="11"/>
      <color theme="1"/>
      <name val="Calibri"/>
      <family val="2"/>
      <scheme val="minor"/>
    </font>
    <font>
      <sz val="10"/>
      <color indexed="81"/>
      <name val="Tahoma"/>
      <family val="2"/>
    </font>
    <font>
      <b/>
      <sz val="10"/>
      <color indexed="81"/>
      <name val="Tahoma"/>
      <family val="2"/>
    </font>
    <font>
      <b/>
      <sz val="11"/>
      <color theme="1"/>
      <name val="Calibri"/>
      <family val="2"/>
      <scheme val="minor"/>
    </font>
    <font>
      <sz val="11"/>
      <color theme="1"/>
      <name val="Calibri"/>
      <family val="2"/>
    </font>
    <font>
      <sz val="12"/>
      <color rgb="FF000000"/>
      <name val="Times New Roman"/>
      <family val="1"/>
    </font>
    <font>
      <b/>
      <i/>
      <sz val="14"/>
      <color rgb="FF000000"/>
      <name val="Calibri"/>
      <family val="2"/>
    </font>
    <font>
      <i/>
      <sz val="11"/>
      <color theme="1"/>
      <name val="Calibri"/>
      <family val="2"/>
      <scheme val="minor"/>
    </font>
    <font>
      <i/>
      <vertAlign val="subscript"/>
      <sz val="11"/>
      <color theme="1"/>
      <name val="Calibri"/>
      <family val="2"/>
      <scheme val="minor"/>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style="double">
        <color indexed="64"/>
      </bottom>
      <diagonal/>
    </border>
    <border>
      <left/>
      <right/>
      <top style="thin">
        <color indexed="64"/>
      </top>
      <bottom style="double">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ck">
        <color indexed="64"/>
      </left>
      <right/>
      <top/>
      <bottom style="double">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style="thick">
        <color indexed="64"/>
      </left>
      <right/>
      <top style="thin">
        <color indexed="64"/>
      </top>
      <bottom/>
      <diagonal/>
    </border>
    <border>
      <left/>
      <right style="medium">
        <color indexed="64"/>
      </right>
      <top style="double">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double">
        <color indexed="64"/>
      </bottom>
      <diagonal/>
    </border>
    <border>
      <left/>
      <right/>
      <top style="thick">
        <color indexed="64"/>
      </top>
      <bottom style="thick">
        <color indexed="64"/>
      </bottom>
      <diagonal/>
    </border>
  </borders>
  <cellStyleXfs count="6">
    <xf numFmtId="0" fontId="0" fillId="0" borderId="0"/>
    <xf numFmtId="0" fontId="7" fillId="0" borderId="0"/>
    <xf numFmtId="0" fontId="5" fillId="0" borderId="0"/>
    <xf numFmtId="166" fontId="22" fillId="0" borderId="0"/>
    <xf numFmtId="0" fontId="7" fillId="0" borderId="0"/>
    <xf numFmtId="0" fontId="9" fillId="0" borderId="0"/>
  </cellStyleXfs>
  <cellXfs count="251">
    <xf numFmtId="0" fontId="0" fillId="0" borderId="0" xfId="0"/>
    <xf numFmtId="0" fontId="44" fillId="0" borderId="0" xfId="0" applyFont="1"/>
    <xf numFmtId="0" fontId="6" fillId="0" borderId="1" xfId="2" applyFont="1" applyBorder="1" applyAlignment="1" applyProtection="1">
      <alignment horizontal="center"/>
      <protection locked="0"/>
    </xf>
    <xf numFmtId="2" fontId="6" fillId="0" borderId="1" xfId="2" applyNumberFormat="1" applyFont="1" applyBorder="1" applyAlignment="1" applyProtection="1">
      <alignment horizontal="center"/>
      <protection locked="0"/>
    </xf>
    <xf numFmtId="0" fontId="6" fillId="0" borderId="0" xfId="2" applyFont="1" applyAlignment="1" applyProtection="1">
      <alignment horizontal="centerContinuous"/>
      <protection locked="0"/>
    </xf>
    <xf numFmtId="2" fontId="6" fillId="0" borderId="0" xfId="2" applyNumberFormat="1" applyFont="1" applyAlignment="1" applyProtection="1">
      <alignment horizontal="centerContinuous"/>
      <protection locked="0"/>
    </xf>
    <xf numFmtId="0" fontId="6" fillId="0" borderId="0" xfId="2" applyFont="1" applyAlignment="1" applyProtection="1">
      <alignment horizontal="left"/>
      <protection locked="0"/>
    </xf>
    <xf numFmtId="2" fontId="9" fillId="0" borderId="0" xfId="2" applyNumberFormat="1" applyFont="1" applyAlignment="1" applyProtection="1">
      <alignment horizontal="center"/>
      <protection locked="0"/>
    </xf>
    <xf numFmtId="0" fontId="9" fillId="0" borderId="0" xfId="2" applyFont="1" applyAlignment="1" applyProtection="1">
      <alignment horizontal="center" vertical="center"/>
      <protection locked="0"/>
    </xf>
    <xf numFmtId="0" fontId="9" fillId="0" borderId="0" xfId="2" applyFont="1" applyAlignment="1" applyProtection="1">
      <alignment horizontal="left"/>
      <protection locked="0"/>
    </xf>
    <xf numFmtId="0" fontId="9" fillId="0" borderId="0" xfId="2" quotePrefix="1" applyFont="1" applyAlignment="1" applyProtection="1">
      <alignment horizontal="center" vertical="center"/>
      <protection locked="0"/>
    </xf>
    <xf numFmtId="0" fontId="9" fillId="0" borderId="0" xfId="2" applyFont="1" applyAlignment="1" applyProtection="1">
      <alignment horizontal="center"/>
      <protection locked="0"/>
    </xf>
    <xf numFmtId="2" fontId="9" fillId="0" borderId="0" xfId="2" applyNumberFormat="1" applyFont="1" applyAlignment="1" applyProtection="1">
      <alignment horizontal="center" vertical="center"/>
      <protection locked="0"/>
    </xf>
    <xf numFmtId="0" fontId="9" fillId="0" borderId="0" xfId="2" applyFont="1" applyAlignment="1" applyProtection="1">
      <alignment horizontal="left" vertical="center"/>
      <protection locked="0"/>
    </xf>
    <xf numFmtId="164" fontId="9" fillId="0" borderId="0" xfId="2" applyNumberFormat="1" applyFont="1" applyAlignment="1" applyProtection="1">
      <alignment horizontal="center"/>
      <protection locked="0"/>
    </xf>
    <xf numFmtId="164" fontId="9" fillId="0" borderId="0" xfId="2" applyNumberFormat="1" applyFont="1" applyAlignment="1" applyProtection="1">
      <alignment horizontal="left"/>
      <protection locked="0"/>
    </xf>
    <xf numFmtId="164" fontId="12" fillId="0" borderId="0" xfId="2" applyNumberFormat="1" applyFont="1" applyAlignment="1" applyProtection="1">
      <alignment horizontal="center"/>
      <protection locked="0"/>
    </xf>
    <xf numFmtId="164" fontId="9" fillId="0" borderId="0" xfId="2" quotePrefix="1" applyNumberFormat="1" applyFont="1" applyAlignment="1" applyProtection="1">
      <alignment horizontal="center"/>
      <protection locked="0"/>
    </xf>
    <xf numFmtId="164" fontId="6" fillId="0" borderId="0" xfId="2" applyNumberFormat="1" applyFont="1" applyAlignment="1" applyProtection="1">
      <alignment horizontal="left"/>
      <protection locked="0"/>
    </xf>
    <xf numFmtId="0" fontId="14" fillId="0" borderId="0" xfId="1" applyFont="1" applyAlignment="1">
      <alignment horizontal="center"/>
    </xf>
    <xf numFmtId="164" fontId="9" fillId="0" borderId="2" xfId="2" applyNumberFormat="1" applyFont="1" applyBorder="1" applyAlignment="1" applyProtection="1">
      <alignment horizontal="center"/>
      <protection locked="0"/>
    </xf>
    <xf numFmtId="164" fontId="9" fillId="0" borderId="2" xfId="2" quotePrefix="1" applyNumberFormat="1" applyFont="1" applyBorder="1" applyAlignment="1" applyProtection="1">
      <alignment horizontal="center"/>
      <protection locked="0"/>
    </xf>
    <xf numFmtId="2" fontId="6" fillId="0" borderId="2" xfId="2" applyNumberFormat="1" applyFont="1" applyBorder="1" applyAlignment="1" applyProtection="1">
      <alignment horizontal="center"/>
      <protection locked="0"/>
    </xf>
    <xf numFmtId="164" fontId="9" fillId="0" borderId="0" xfId="2" applyNumberFormat="1" applyFont="1" applyAlignment="1" applyProtection="1">
      <alignment horizontal="left" vertical="center"/>
      <protection locked="0"/>
    </xf>
    <xf numFmtId="164" fontId="9" fillId="0" borderId="0" xfId="2" applyNumberFormat="1" applyFont="1" applyAlignment="1" applyProtection="1">
      <alignment horizontal="center" vertical="center"/>
      <protection locked="0"/>
    </xf>
    <xf numFmtId="0" fontId="14" fillId="0" borderId="0" xfId="1" applyFont="1" applyAlignment="1">
      <alignment horizontal="center" vertical="center"/>
    </xf>
    <xf numFmtId="0" fontId="9" fillId="0" borderId="0" xfId="2" applyFont="1" applyAlignment="1" applyProtection="1">
      <alignment vertical="center"/>
      <protection locked="0"/>
    </xf>
    <xf numFmtId="164" fontId="6" fillId="0" borderId="0" xfId="2" applyNumberFormat="1" applyFont="1" applyAlignment="1" applyProtection="1">
      <alignment horizontal="left" vertical="center"/>
      <protection locked="0"/>
    </xf>
    <xf numFmtId="0" fontId="9" fillId="0" borderId="2" xfId="2" applyFont="1" applyBorder="1" applyAlignment="1" applyProtection="1">
      <alignment horizontal="left" vertical="center"/>
      <protection locked="0"/>
    </xf>
    <xf numFmtId="164" fontId="9" fillId="0" borderId="2" xfId="2" applyNumberFormat="1" applyFont="1" applyBorder="1" applyAlignment="1" applyProtection="1">
      <alignment horizontal="center" vertical="center"/>
      <protection locked="0"/>
    </xf>
    <xf numFmtId="0" fontId="9" fillId="0" borderId="2" xfId="2" applyFont="1" applyBorder="1" applyAlignment="1" applyProtection="1">
      <alignment horizontal="center" vertical="center"/>
      <protection locked="0"/>
    </xf>
    <xf numFmtId="0" fontId="16" fillId="0" borderId="0" xfId="2" quotePrefix="1" applyFont="1" applyAlignment="1" applyProtection="1">
      <alignment horizontal="left"/>
      <protection locked="0"/>
    </xf>
    <xf numFmtId="0" fontId="16" fillId="0" borderId="0" xfId="2" applyFont="1" applyAlignment="1" applyProtection="1">
      <alignment horizontal="left"/>
      <protection locked="0"/>
    </xf>
    <xf numFmtId="0" fontId="20" fillId="0" borderId="0" xfId="2" applyFont="1" applyAlignment="1" applyProtection="1">
      <alignment horizontal="center"/>
      <protection locked="0"/>
    </xf>
    <xf numFmtId="0" fontId="21" fillId="0" borderId="0" xfId="2" applyFont="1" applyAlignment="1" applyProtection="1">
      <alignment horizontal="left"/>
      <protection locked="0"/>
    </xf>
    <xf numFmtId="166" fontId="20" fillId="0" borderId="0" xfId="3" applyFont="1" applyAlignment="1">
      <alignment horizontal="left"/>
    </xf>
    <xf numFmtId="0" fontId="20" fillId="0" borderId="0" xfId="1" applyFont="1"/>
    <xf numFmtId="0" fontId="16" fillId="0" borderId="0" xfId="5" quotePrefix="1" applyFont="1"/>
    <xf numFmtId="0" fontId="19" fillId="0" borderId="0" xfId="2" applyFont="1" applyAlignment="1" applyProtection="1">
      <alignment horizontal="left"/>
      <protection locked="0"/>
    </xf>
    <xf numFmtId="0" fontId="11" fillId="0" borderId="0" xfId="2" applyFont="1" applyAlignment="1" applyProtection="1">
      <alignment horizontal="left"/>
      <protection locked="0"/>
    </xf>
    <xf numFmtId="2" fontId="6" fillId="0" borderId="1" xfId="1" applyNumberFormat="1" applyFont="1" applyBorder="1" applyAlignment="1" applyProtection="1">
      <alignment horizontal="center" vertical="center" wrapText="1"/>
      <protection locked="0"/>
    </xf>
    <xf numFmtId="2" fontId="6" fillId="0" borderId="0" xfId="1" applyNumberFormat="1" applyFont="1" applyAlignment="1" applyProtection="1">
      <alignment horizontal="centerContinuous" vertical="center" wrapText="1"/>
      <protection locked="0"/>
    </xf>
    <xf numFmtId="2" fontId="9" fillId="0" borderId="0" xfId="4" applyNumberFormat="1" applyFont="1" applyAlignment="1">
      <alignment horizontal="center"/>
    </xf>
    <xf numFmtId="2" fontId="9" fillId="0" borderId="2" xfId="2" applyNumberFormat="1" applyFont="1" applyBorder="1" applyAlignment="1" applyProtection="1">
      <alignment horizontal="center"/>
      <protection locked="0"/>
    </xf>
    <xf numFmtId="2" fontId="9" fillId="0" borderId="2" xfId="2" applyNumberFormat="1" applyFont="1" applyBorder="1" applyAlignment="1" applyProtection="1">
      <alignment horizontal="center" vertical="center"/>
      <protection locked="0"/>
    </xf>
    <xf numFmtId="2" fontId="20" fillId="0" borderId="0" xfId="2" applyNumberFormat="1" applyFont="1" applyAlignment="1" applyProtection="1">
      <alignment horizontal="center"/>
      <protection locked="0"/>
    </xf>
    <xf numFmtId="2" fontId="20" fillId="0" borderId="0" xfId="1" applyNumberFormat="1" applyFont="1" applyAlignment="1">
      <alignment horizontal="center"/>
    </xf>
    <xf numFmtId="2" fontId="7" fillId="0" borderId="0" xfId="0" applyNumberFormat="1" applyFont="1" applyAlignment="1">
      <alignment horizontal="left" indent="2"/>
    </xf>
    <xf numFmtId="2" fontId="11" fillId="0" borderId="0" xfId="2" applyNumberFormat="1" applyFont="1" applyAlignment="1" applyProtection="1">
      <alignment horizontal="left"/>
      <protection locked="0"/>
    </xf>
    <xf numFmtId="2" fontId="0" fillId="0" borderId="0" xfId="0" applyNumberFormat="1"/>
    <xf numFmtId="2" fontId="6" fillId="0" borderId="0" xfId="1" applyNumberFormat="1" applyFont="1" applyAlignment="1" applyProtection="1">
      <alignment horizontal="center" vertical="center" wrapText="1"/>
      <protection locked="0"/>
    </xf>
    <xf numFmtId="0" fontId="45" fillId="0" borderId="0" xfId="0" applyFont="1" applyAlignment="1">
      <alignment horizontal="center"/>
    </xf>
    <xf numFmtId="164" fontId="6" fillId="0" borderId="0" xfId="2" applyNumberFormat="1" applyFont="1" applyAlignment="1" applyProtection="1">
      <alignment horizontal="center"/>
      <protection locked="0"/>
    </xf>
    <xf numFmtId="2" fontId="6" fillId="0" borderId="0" xfId="2" applyNumberFormat="1" applyFont="1" applyAlignment="1" applyProtection="1">
      <alignment horizontal="center"/>
      <protection locked="0"/>
    </xf>
    <xf numFmtId="164" fontId="6" fillId="0" borderId="0" xfId="2" applyNumberFormat="1" applyFont="1" applyAlignment="1" applyProtection="1">
      <alignment horizontal="center" vertical="center"/>
      <protection locked="0"/>
    </xf>
    <xf numFmtId="0" fontId="6" fillId="0" borderId="0" xfId="2" applyFont="1" applyAlignment="1" applyProtection="1">
      <alignment horizontal="center" vertical="center"/>
      <protection locked="0"/>
    </xf>
    <xf numFmtId="2" fontId="6" fillId="0" borderId="0" xfId="4" applyNumberFormat="1" applyFont="1" applyAlignment="1">
      <alignment horizontal="center"/>
    </xf>
    <xf numFmtId="11" fontId="6" fillId="0" borderId="0" xfId="2" applyNumberFormat="1" applyFont="1" applyAlignment="1" applyProtection="1">
      <alignment horizontal="center"/>
      <protection locked="0"/>
    </xf>
    <xf numFmtId="0" fontId="6" fillId="0" borderId="0" xfId="2" applyFont="1" applyAlignment="1" applyProtection="1">
      <alignment horizontal="left" vertical="center"/>
      <protection locked="0"/>
    </xf>
    <xf numFmtId="11" fontId="6" fillId="0" borderId="0" xfId="2" applyNumberFormat="1" applyFont="1" applyAlignment="1" applyProtection="1">
      <alignment horizontal="center" vertical="center"/>
      <protection locked="0"/>
    </xf>
    <xf numFmtId="11" fontId="6" fillId="0" borderId="0" xfId="4" applyNumberFormat="1" applyFont="1" applyAlignment="1">
      <alignment horizontal="center"/>
    </xf>
    <xf numFmtId="0" fontId="6" fillId="0" borderId="3" xfId="2" applyFont="1" applyBorder="1" applyAlignment="1" applyProtection="1">
      <alignment horizontal="left"/>
      <protection locked="0"/>
    </xf>
    <xf numFmtId="2" fontId="6" fillId="0" borderId="3" xfId="2" applyNumberFormat="1" applyFont="1" applyBorder="1" applyAlignment="1" applyProtection="1">
      <alignment horizontal="center"/>
      <protection locked="0"/>
    </xf>
    <xf numFmtId="11" fontId="6" fillId="0" borderId="3" xfId="2" applyNumberFormat="1" applyFont="1" applyBorder="1" applyAlignment="1" applyProtection="1">
      <alignment horizontal="center"/>
      <protection locked="0"/>
    </xf>
    <xf numFmtId="0" fontId="6" fillId="0" borderId="3" xfId="2" applyFont="1" applyBorder="1" applyAlignment="1" applyProtection="1">
      <alignment horizontal="left" vertical="center"/>
      <protection locked="0"/>
    </xf>
    <xf numFmtId="2" fontId="6" fillId="0" borderId="3" xfId="2" applyNumberFormat="1" applyFont="1" applyBorder="1" applyAlignment="1" applyProtection="1">
      <alignment horizontal="center" vertical="center"/>
      <protection locked="0"/>
    </xf>
    <xf numFmtId="11" fontId="6" fillId="0" borderId="3" xfId="2" applyNumberFormat="1" applyFont="1" applyBorder="1" applyAlignment="1" applyProtection="1">
      <alignment horizontal="center" vertical="center"/>
      <protection locked="0"/>
    </xf>
    <xf numFmtId="0" fontId="6" fillId="2" borderId="1" xfId="2" applyFont="1" applyFill="1" applyBorder="1" applyAlignment="1" applyProtection="1">
      <alignment horizontal="centerContinuous" vertical="center"/>
      <protection locked="0"/>
    </xf>
    <xf numFmtId="2" fontId="6" fillId="2" borderId="1" xfId="2" applyNumberFormat="1" applyFont="1" applyFill="1" applyBorder="1" applyAlignment="1" applyProtection="1">
      <alignment horizontal="centerContinuous" vertical="center"/>
      <protection locked="0"/>
    </xf>
    <xf numFmtId="2" fontId="6" fillId="2" borderId="1" xfId="1" applyNumberFormat="1" applyFont="1" applyFill="1" applyBorder="1" applyAlignment="1" applyProtection="1">
      <alignment horizontal="centerContinuous" vertical="center" wrapText="1"/>
      <protection locked="0"/>
    </xf>
    <xf numFmtId="0" fontId="6" fillId="2" borderId="1" xfId="2" applyFont="1" applyFill="1" applyBorder="1" applyAlignment="1" applyProtection="1">
      <alignment horizontal="centerContinuous"/>
      <protection locked="0"/>
    </xf>
    <xf numFmtId="2" fontId="6" fillId="2" borderId="1" xfId="2" applyNumberFormat="1" applyFont="1" applyFill="1" applyBorder="1" applyAlignment="1" applyProtection="1">
      <alignment horizontal="centerContinuous"/>
      <protection locked="0"/>
    </xf>
    <xf numFmtId="2" fontId="6" fillId="0" borderId="2" xfId="1" applyNumberFormat="1" applyFont="1" applyBorder="1" applyAlignment="1" applyProtection="1">
      <alignment horizontal="center" vertical="center" wrapText="1"/>
      <protection locked="0"/>
    </xf>
    <xf numFmtId="0" fontId="0" fillId="0" borderId="2" xfId="0" applyBorder="1"/>
    <xf numFmtId="0" fontId="0" fillId="2" borderId="1" xfId="0" applyFill="1" applyBorder="1"/>
    <xf numFmtId="0" fontId="9" fillId="0" borderId="2" xfId="2" applyFont="1" applyBorder="1" applyAlignment="1" applyProtection="1">
      <alignment horizontal="left"/>
      <protection locked="0"/>
    </xf>
    <xf numFmtId="2" fontId="9" fillId="0" borderId="2" xfId="4" applyNumberFormat="1" applyFont="1" applyBorder="1" applyAlignment="1">
      <alignment horizontal="center"/>
    </xf>
    <xf numFmtId="164" fontId="9" fillId="0" borderId="2" xfId="2" applyNumberFormat="1" applyFont="1" applyBorder="1" applyAlignment="1" applyProtection="1">
      <alignment horizontal="left"/>
      <protection locked="0"/>
    </xf>
    <xf numFmtId="0" fontId="6" fillId="3" borderId="4" xfId="2" applyFont="1" applyFill="1" applyBorder="1" applyAlignment="1" applyProtection="1">
      <alignment horizontal="left" vertical="center"/>
      <protection locked="0"/>
    </xf>
    <xf numFmtId="0" fontId="6" fillId="3" borderId="5" xfId="2" applyFont="1" applyFill="1" applyBorder="1" applyAlignment="1" applyProtection="1">
      <alignment horizontal="center" vertical="center"/>
      <protection locked="0"/>
    </xf>
    <xf numFmtId="11" fontId="6" fillId="3" borderId="6" xfId="2" applyNumberFormat="1" applyFont="1" applyFill="1" applyBorder="1" applyAlignment="1" applyProtection="1">
      <alignment horizontal="center" vertical="center"/>
      <protection locked="0"/>
    </xf>
    <xf numFmtId="0" fontId="6" fillId="3" borderId="7" xfId="2" applyFont="1" applyFill="1" applyBorder="1" applyAlignment="1" applyProtection="1">
      <alignment horizontal="left" vertical="center"/>
      <protection locked="0"/>
    </xf>
    <xf numFmtId="0" fontId="6" fillId="3" borderId="2" xfId="2" applyFont="1" applyFill="1" applyBorder="1" applyAlignment="1" applyProtection="1">
      <alignment horizontal="center" vertical="center"/>
      <protection locked="0"/>
    </xf>
    <xf numFmtId="11" fontId="6" fillId="3" borderId="8" xfId="2" applyNumberFormat="1" applyFont="1" applyFill="1" applyBorder="1" applyAlignment="1" applyProtection="1">
      <alignment horizontal="center" vertical="center"/>
      <protection locked="0"/>
    </xf>
    <xf numFmtId="0" fontId="6" fillId="0" borderId="2" xfId="2" applyFont="1" applyBorder="1" applyAlignment="1" applyProtection="1">
      <alignment horizontal="center"/>
      <protection locked="0"/>
    </xf>
    <xf numFmtId="165" fontId="0" fillId="0" borderId="0" xfId="0" applyNumberFormat="1"/>
    <xf numFmtId="11" fontId="0" fillId="0" borderId="0" xfId="0" applyNumberFormat="1"/>
    <xf numFmtId="0" fontId="44" fillId="0" borderId="0" xfId="0" applyFont="1" applyAlignment="1">
      <alignment horizontal="center"/>
    </xf>
    <xf numFmtId="0" fontId="44" fillId="0" borderId="9" xfId="0" applyFont="1" applyBorder="1" applyAlignment="1">
      <alignment horizontal="center"/>
    </xf>
    <xf numFmtId="0" fontId="0" fillId="0" borderId="10" xfId="0" applyBorder="1"/>
    <xf numFmtId="0" fontId="47" fillId="0" borderId="11" xfId="0" applyFont="1" applyBorder="1" applyAlignment="1">
      <alignment wrapText="1"/>
    </xf>
    <xf numFmtId="0" fontId="0" fillId="0" borderId="11" xfId="0" applyBorder="1" applyAlignment="1">
      <alignment wrapText="1"/>
    </xf>
    <xf numFmtId="0" fontId="0" fillId="0" borderId="0" xfId="0" applyAlignment="1">
      <alignment horizontal="center"/>
    </xf>
    <xf numFmtId="0" fontId="48" fillId="0" borderId="0" xfId="0" applyFont="1" applyAlignment="1">
      <alignment horizontal="left" wrapText="1"/>
    </xf>
    <xf numFmtId="0" fontId="0" fillId="0" borderId="0" xfId="0" quotePrefix="1" applyAlignment="1">
      <alignment horizontal="center"/>
    </xf>
    <xf numFmtId="0" fontId="49" fillId="0" borderId="0" xfId="0" applyFont="1"/>
    <xf numFmtId="165" fontId="0" fillId="0" borderId="13" xfId="0" applyNumberFormat="1" applyBorder="1"/>
    <xf numFmtId="0" fontId="44" fillId="0" borderId="14" xfId="0" applyFont="1" applyBorder="1" applyAlignment="1">
      <alignment horizontal="center" wrapText="1"/>
    </xf>
    <xf numFmtId="0" fontId="44" fillId="0" borderId="15" xfId="0" applyFont="1" applyBorder="1"/>
    <xf numFmtId="0" fontId="30" fillId="0" borderId="5" xfId="0" applyFont="1" applyBorder="1"/>
    <xf numFmtId="0" fontId="31" fillId="0" borderId="5" xfId="0" applyFont="1" applyBorder="1"/>
    <xf numFmtId="0" fontId="30" fillId="0" borderId="0" xfId="0" applyFont="1"/>
    <xf numFmtId="0" fontId="31" fillId="0" borderId="0" xfId="0" applyFont="1" applyAlignment="1">
      <alignment horizontal="center"/>
    </xf>
    <xf numFmtId="0" fontId="31" fillId="0" borderId="2" xfId="0" applyFont="1" applyBorder="1" applyAlignment="1">
      <alignment horizontal="center"/>
    </xf>
    <xf numFmtId="0" fontId="30" fillId="0" borderId="0" xfId="0" applyFont="1" applyAlignment="1">
      <alignment horizontal="center"/>
    </xf>
    <xf numFmtId="0" fontId="30" fillId="0" borderId="2" xfId="0" applyFont="1" applyBorder="1" applyAlignment="1">
      <alignment horizontal="left"/>
    </xf>
    <xf numFmtId="0" fontId="30" fillId="0" borderId="2" xfId="0" applyFont="1" applyBorder="1" applyAlignment="1">
      <alignment horizontal="center"/>
    </xf>
    <xf numFmtId="0" fontId="32" fillId="0" borderId="0" xfId="0" applyFont="1"/>
    <xf numFmtId="0" fontId="15" fillId="3" borderId="2" xfId="2" applyFont="1" applyFill="1" applyBorder="1" applyAlignment="1" applyProtection="1">
      <alignment horizontal="center" vertical="center"/>
      <protection locked="0"/>
    </xf>
    <xf numFmtId="0" fontId="50" fillId="0" borderId="0" xfId="0" applyFont="1"/>
    <xf numFmtId="0" fontId="0" fillId="0" borderId="0" xfId="0" applyAlignment="1">
      <alignment wrapText="1"/>
    </xf>
    <xf numFmtId="2" fontId="35" fillId="0" borderId="0" xfId="2" applyNumberFormat="1" applyFont="1" applyAlignment="1" applyProtection="1">
      <alignment horizontal="center"/>
      <protection locked="0"/>
    </xf>
    <xf numFmtId="0" fontId="0" fillId="0" borderId="16" xfId="0" applyBorder="1"/>
    <xf numFmtId="0" fontId="0" fillId="0" borderId="17" xfId="0" applyBorder="1"/>
    <xf numFmtId="0" fontId="51" fillId="0" borderId="18" xfId="0" applyFont="1" applyBorder="1" applyAlignment="1">
      <alignment horizontal="center"/>
    </xf>
    <xf numFmtId="0" fontId="51" fillId="0" borderId="19" xfId="0" applyFont="1" applyBorder="1" applyAlignment="1">
      <alignment horizontal="center"/>
    </xf>
    <xf numFmtId="0" fontId="52" fillId="0" borderId="2" xfId="0" applyFont="1" applyBorder="1"/>
    <xf numFmtId="0" fontId="52" fillId="0" borderId="2" xfId="0" applyFont="1" applyBorder="1" applyAlignment="1">
      <alignment horizontal="center"/>
    </xf>
    <xf numFmtId="11" fontId="0" fillId="0" borderId="0" xfId="0" applyNumberFormat="1" applyAlignment="1">
      <alignment horizontal="center"/>
    </xf>
    <xf numFmtId="11" fontId="0" fillId="0" borderId="21" xfId="0" applyNumberFormat="1" applyBorder="1" applyAlignment="1">
      <alignment horizontal="center"/>
    </xf>
    <xf numFmtId="0" fontId="53" fillId="0" borderId="0" xfId="0" applyFont="1"/>
    <xf numFmtId="0" fontId="51" fillId="0" borderId="0" xfId="0" applyFont="1"/>
    <xf numFmtId="0" fontId="54" fillId="2" borderId="0" xfId="0" applyFont="1" applyFill="1"/>
    <xf numFmtId="0" fontId="0" fillId="2" borderId="0" xfId="0" applyFill="1"/>
    <xf numFmtId="0" fontId="54" fillId="2" borderId="23" xfId="0" applyFont="1" applyFill="1" applyBorder="1" applyAlignment="1">
      <alignment horizontal="left"/>
    </xf>
    <xf numFmtId="0" fontId="46" fillId="2" borderId="23" xfId="0" applyFont="1" applyFill="1" applyBorder="1" applyAlignment="1">
      <alignment horizontal="left"/>
    </xf>
    <xf numFmtId="11" fontId="0" fillId="0" borderId="23" xfId="0" applyNumberFormat="1" applyBorder="1"/>
    <xf numFmtId="11" fontId="0" fillId="0" borderId="24" xfId="0" applyNumberFormat="1" applyBorder="1"/>
    <xf numFmtId="0" fontId="0" fillId="0" borderId="5" xfId="0" applyBorder="1" applyAlignment="1">
      <alignment horizontal="center"/>
    </xf>
    <xf numFmtId="0" fontId="0" fillId="0" borderId="9" xfId="0" applyBorder="1" applyAlignment="1">
      <alignment horizontal="center"/>
    </xf>
    <xf numFmtId="0" fontId="0" fillId="0" borderId="14" xfId="0" applyBorder="1" applyAlignment="1">
      <alignment wrapText="1"/>
    </xf>
    <xf numFmtId="0" fontId="52" fillId="0" borderId="0" xfId="0" applyFont="1" applyAlignment="1">
      <alignment horizontal="center"/>
    </xf>
    <xf numFmtId="0" fontId="0" fillId="0" borderId="0" xfId="0" applyAlignment="1">
      <alignment horizontal="center" wrapText="1"/>
    </xf>
    <xf numFmtId="0" fontId="0" fillId="0" borderId="11" xfId="0" applyBorder="1" applyAlignment="1">
      <alignment horizontal="center" wrapText="1"/>
    </xf>
    <xf numFmtId="0" fontId="46" fillId="0" borderId="9" xfId="0" applyFont="1" applyBorder="1" applyAlignment="1">
      <alignment horizontal="center"/>
    </xf>
    <xf numFmtId="168" fontId="6" fillId="0" borderId="0" xfId="4" applyNumberFormat="1" applyFont="1" applyAlignment="1">
      <alignment horizontal="center"/>
    </xf>
    <xf numFmtId="168" fontId="6" fillId="0" borderId="0" xfId="2" applyNumberFormat="1" applyFont="1" applyAlignment="1" applyProtection="1">
      <alignment horizontal="center"/>
      <protection locked="0"/>
    </xf>
    <xf numFmtId="168" fontId="9" fillId="0" borderId="0" xfId="2" applyNumberFormat="1" applyFont="1" applyAlignment="1" applyProtection="1">
      <alignment horizontal="center"/>
      <protection locked="0"/>
    </xf>
    <xf numFmtId="11" fontId="6" fillId="0" borderId="0" xfId="2" applyNumberFormat="1" applyFont="1" applyAlignment="1" applyProtection="1">
      <alignment horizontal="left"/>
      <protection locked="0"/>
    </xf>
    <xf numFmtId="0" fontId="44" fillId="0" borderId="0" xfId="0" applyFont="1" applyAlignment="1">
      <alignment horizontal="center" wrapText="1"/>
    </xf>
    <xf numFmtId="11" fontId="9" fillId="0" borderId="0" xfId="2" applyNumberFormat="1" applyFont="1" applyAlignment="1" applyProtection="1">
      <alignment horizontal="left" vertical="center"/>
      <protection locked="0"/>
    </xf>
    <xf numFmtId="164" fontId="9" fillId="0" borderId="2" xfId="2" applyNumberFormat="1" applyFont="1" applyBorder="1" applyAlignment="1" applyProtection="1">
      <alignment horizontal="left" vertical="center"/>
      <protection locked="0"/>
    </xf>
    <xf numFmtId="0" fontId="0" fillId="0" borderId="4" xfId="0" applyBorder="1" applyAlignment="1">
      <alignment horizontal="center" wrapText="1"/>
    </xf>
    <xf numFmtId="0" fontId="0" fillId="0" borderId="2" xfId="0" applyBorder="1" applyAlignment="1">
      <alignment horizontal="center"/>
    </xf>
    <xf numFmtId="1" fontId="0" fillId="0" borderId="5" xfId="0" applyNumberFormat="1" applyBorder="1" applyAlignment="1">
      <alignment horizontal="center"/>
    </xf>
    <xf numFmtId="0" fontId="0" fillId="2" borderId="0" xfId="0" applyFill="1" applyAlignment="1">
      <alignment horizontal="center"/>
    </xf>
    <xf numFmtId="0" fontId="44" fillId="0" borderId="26" xfId="0" applyFont="1" applyBorder="1" applyAlignment="1">
      <alignment horizontal="center"/>
    </xf>
    <xf numFmtId="0" fontId="59" fillId="0" borderId="0" xfId="0" applyFont="1"/>
    <xf numFmtId="0" fontId="24" fillId="0" borderId="0" xfId="0" applyFont="1" applyAlignment="1">
      <alignment horizontal="left"/>
    </xf>
    <xf numFmtId="0" fontId="51" fillId="0" borderId="0" xfId="0" applyFont="1" applyAlignment="1">
      <alignment horizontal="left"/>
    </xf>
    <xf numFmtId="0" fontId="25" fillId="0" borderId="11" xfId="2" applyFont="1" applyBorder="1" applyAlignment="1" applyProtection="1">
      <alignment horizontal="left" vertical="center" wrapText="1"/>
      <protection locked="0"/>
    </xf>
    <xf numFmtId="0" fontId="25" fillId="0" borderId="0" xfId="2" applyFont="1" applyAlignment="1" applyProtection="1">
      <alignment horizontal="center" vertical="center"/>
      <protection locked="0"/>
    </xf>
    <xf numFmtId="0" fontId="25" fillId="0" borderId="23" xfId="2" applyFont="1" applyBorder="1" applyAlignment="1" applyProtection="1">
      <alignment horizontal="center" vertical="center"/>
      <protection locked="0"/>
    </xf>
    <xf numFmtId="0" fontId="25" fillId="0" borderId="27" xfId="2" applyFont="1" applyBorder="1" applyAlignment="1" applyProtection="1">
      <alignment horizontal="left" vertical="center" wrapText="1"/>
      <protection locked="0"/>
    </xf>
    <xf numFmtId="170" fontId="0" fillId="0" borderId="5" xfId="0" applyNumberFormat="1" applyBorder="1" applyAlignment="1">
      <alignment horizontal="center"/>
    </xf>
    <xf numFmtId="170" fontId="0" fillId="0" borderId="9" xfId="0" applyNumberFormat="1" applyBorder="1" applyAlignment="1">
      <alignment horizontal="center"/>
    </xf>
    <xf numFmtId="0" fontId="39" fillId="0" borderId="28" xfId="0" applyFont="1" applyBorder="1" applyAlignment="1">
      <alignment horizontal="center"/>
    </xf>
    <xf numFmtId="0" fontId="39" fillId="0" borderId="22" xfId="0" applyFont="1" applyBorder="1" applyAlignment="1">
      <alignment horizontal="center"/>
    </xf>
    <xf numFmtId="0" fontId="39" fillId="0" borderId="19" xfId="0" applyFont="1" applyBorder="1" applyAlignment="1">
      <alignment horizontal="center" wrapText="1"/>
    </xf>
    <xf numFmtId="0" fontId="39" fillId="0" borderId="20" xfId="0" applyFont="1" applyBorder="1" applyAlignment="1">
      <alignment horizontal="center" wrapText="1"/>
    </xf>
    <xf numFmtId="0" fontId="0" fillId="0" borderId="21" xfId="0" applyBorder="1" applyAlignment="1">
      <alignment horizontal="center"/>
    </xf>
    <xf numFmtId="0" fontId="56" fillId="2" borderId="0" xfId="0" applyFont="1" applyFill="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60" fillId="0" borderId="0" xfId="0" applyFont="1" applyAlignment="1">
      <alignment horizontal="left"/>
    </xf>
    <xf numFmtId="0" fontId="0" fillId="5" borderId="0" xfId="0" applyFill="1"/>
    <xf numFmtId="0" fontId="0" fillId="5" borderId="29" xfId="0" applyFill="1" applyBorder="1"/>
    <xf numFmtId="0" fontId="0" fillId="5" borderId="30" xfId="0" applyFill="1" applyBorder="1"/>
    <xf numFmtId="0" fontId="0" fillId="6" borderId="31" xfId="0" applyFill="1" applyBorder="1" applyAlignment="1">
      <alignment horizontal="center"/>
    </xf>
    <xf numFmtId="11" fontId="0" fillId="6" borderId="12" xfId="0" applyNumberFormat="1" applyFill="1" applyBorder="1" applyAlignment="1">
      <alignment horizontal="center"/>
    </xf>
    <xf numFmtId="1" fontId="9" fillId="0" borderId="2" xfId="4" applyNumberFormat="1" applyFont="1" applyBorder="1" applyAlignment="1">
      <alignment horizontal="center"/>
    </xf>
    <xf numFmtId="0" fontId="4" fillId="0" borderId="0" xfId="0" applyFont="1"/>
    <xf numFmtId="0" fontId="63" fillId="0" borderId="0" xfId="0" applyFont="1"/>
    <xf numFmtId="0" fontId="63" fillId="2" borderId="0" xfId="0" applyFont="1" applyFill="1"/>
    <xf numFmtId="0" fontId="31" fillId="0" borderId="5" xfId="0" applyFont="1" applyBorder="1" applyAlignment="1">
      <alignment horizontal="center"/>
    </xf>
    <xf numFmtId="0" fontId="0" fillId="2" borderId="0" xfId="0" applyFill="1" applyAlignment="1">
      <alignment horizontal="left"/>
    </xf>
    <xf numFmtId="0" fontId="25" fillId="0" borderId="0" xfId="2" applyFont="1" applyAlignment="1" applyProtection="1">
      <alignment horizontal="left" vertical="center"/>
      <protection locked="0"/>
    </xf>
    <xf numFmtId="164" fontId="25" fillId="0" borderId="0" xfId="2" applyNumberFormat="1" applyFont="1" applyAlignment="1" applyProtection="1">
      <alignment horizontal="center"/>
      <protection locked="0"/>
    </xf>
    <xf numFmtId="2" fontId="25" fillId="6" borderId="0" xfId="2" applyNumberFormat="1" applyFont="1" applyFill="1" applyAlignment="1" applyProtection="1">
      <alignment horizontal="center"/>
      <protection locked="0"/>
    </xf>
    <xf numFmtId="0" fontId="0" fillId="0" borderId="0" xfId="0" applyAlignment="1">
      <alignment horizontal="right"/>
    </xf>
    <xf numFmtId="0" fontId="63" fillId="6" borderId="0" xfId="0" applyFont="1" applyFill="1"/>
    <xf numFmtId="0" fontId="63" fillId="5" borderId="0" xfId="0" applyFont="1" applyFill="1"/>
    <xf numFmtId="0" fontId="0" fillId="6" borderId="0" xfId="0" applyFill="1"/>
    <xf numFmtId="0" fontId="30" fillId="6" borderId="5" xfId="0" applyFont="1" applyFill="1" applyBorder="1" applyAlignment="1">
      <alignment horizontal="left"/>
    </xf>
    <xf numFmtId="0" fontId="30" fillId="6" borderId="0" xfId="0" applyFont="1" applyFill="1" applyAlignment="1">
      <alignment horizontal="center"/>
    </xf>
    <xf numFmtId="0" fontId="30" fillId="6" borderId="0" xfId="0" quotePrefix="1" applyFont="1" applyFill="1" applyAlignment="1">
      <alignment horizontal="center"/>
    </xf>
    <xf numFmtId="0" fontId="31" fillId="0" borderId="0" xfId="0" applyFont="1" applyAlignment="1">
      <alignment horizontal="right"/>
    </xf>
    <xf numFmtId="0" fontId="63" fillId="0" borderId="0" xfId="0" applyFont="1" applyAlignment="1">
      <alignment horizontal="left"/>
    </xf>
    <xf numFmtId="0" fontId="0" fillId="0" borderId="32" xfId="0" applyBorder="1"/>
    <xf numFmtId="0" fontId="0" fillId="0" borderId="1" xfId="0" applyBorder="1"/>
    <xf numFmtId="0" fontId="0" fillId="0" borderId="33" xfId="0" applyBorder="1"/>
    <xf numFmtId="11" fontId="0" fillId="0" borderId="30" xfId="0" applyNumberFormat="1" applyBorder="1"/>
    <xf numFmtId="1" fontId="0" fillId="7" borderId="2" xfId="0" applyNumberFormat="1" applyFill="1" applyBorder="1"/>
    <xf numFmtId="167" fontId="9" fillId="0" borderId="0" xfId="4" applyNumberFormat="1" applyFont="1" applyAlignment="1">
      <alignment horizontal="center"/>
    </xf>
    <xf numFmtId="169" fontId="0" fillId="5" borderId="0" xfId="0" applyNumberFormat="1" applyFill="1"/>
    <xf numFmtId="0" fontId="44" fillId="0" borderId="15" xfId="0" applyFont="1" applyBorder="1" applyAlignment="1">
      <alignment horizontal="center"/>
    </xf>
    <xf numFmtId="2" fontId="9" fillId="6" borderId="0" xfId="2" applyNumberFormat="1" applyFont="1" applyFill="1" applyAlignment="1" applyProtection="1">
      <alignment horizontal="center" vertical="center"/>
      <protection locked="0"/>
    </xf>
    <xf numFmtId="2" fontId="9" fillId="6" borderId="0" xfId="2" applyNumberFormat="1" applyFont="1" applyFill="1" applyAlignment="1" applyProtection="1">
      <alignment horizontal="center"/>
      <protection locked="0"/>
    </xf>
    <xf numFmtId="0" fontId="1" fillId="0" borderId="15" xfId="0" applyFont="1" applyBorder="1" applyAlignment="1">
      <alignment horizontal="center"/>
    </xf>
    <xf numFmtId="2" fontId="65" fillId="0" borderId="0" xfId="2" applyNumberFormat="1" applyFont="1" applyAlignment="1" applyProtection="1">
      <alignment horizontal="center"/>
      <protection locked="0"/>
    </xf>
    <xf numFmtId="11" fontId="9" fillId="0" borderId="2" xfId="2" applyNumberFormat="1" applyFont="1" applyBorder="1" applyAlignment="1" applyProtection="1">
      <alignment horizontal="center"/>
      <protection locked="0"/>
    </xf>
    <xf numFmtId="167" fontId="6" fillId="0" borderId="0" xfId="2" applyNumberFormat="1" applyFont="1" applyAlignment="1" applyProtection="1">
      <alignment horizontal="center"/>
      <protection locked="0"/>
    </xf>
    <xf numFmtId="1" fontId="9" fillId="0" borderId="0" xfId="2" applyNumberFormat="1" applyFont="1" applyAlignment="1" applyProtection="1">
      <alignment horizontal="center"/>
      <protection locked="0"/>
    </xf>
    <xf numFmtId="0" fontId="0" fillId="5" borderId="0" xfId="0" applyFill="1" applyAlignment="1">
      <alignment horizontal="right"/>
    </xf>
    <xf numFmtId="169" fontId="0" fillId="5" borderId="30" xfId="0" applyNumberFormat="1" applyFill="1" applyBorder="1"/>
    <xf numFmtId="169" fontId="0" fillId="0" borderId="0" xfId="0" applyNumberFormat="1"/>
    <xf numFmtId="1" fontId="0" fillId="0" borderId="0" xfId="0" applyNumberFormat="1"/>
    <xf numFmtId="1" fontId="0" fillId="0" borderId="30" xfId="0" applyNumberFormat="1" applyBorder="1"/>
    <xf numFmtId="0" fontId="0" fillId="0" borderId="9" xfId="0" applyBorder="1"/>
    <xf numFmtId="0" fontId="0" fillId="2" borderId="23" xfId="0" applyFill="1" applyBorder="1"/>
    <xf numFmtId="0" fontId="70" fillId="0" borderId="0" xfId="0" applyFont="1"/>
    <xf numFmtId="0" fontId="0" fillId="8" borderId="0" xfId="0" applyFill="1"/>
    <xf numFmtId="0" fontId="0" fillId="0" borderId="0" xfId="0" quotePrefix="1" applyAlignment="1">
      <alignment wrapText="1"/>
    </xf>
    <xf numFmtId="2" fontId="0" fillId="0" borderId="0" xfId="0" applyNumberFormat="1" applyAlignment="1">
      <alignment horizontal="center"/>
    </xf>
    <xf numFmtId="167" fontId="0" fillId="0" borderId="0" xfId="0" applyNumberFormat="1" applyAlignment="1">
      <alignment horizontal="center"/>
    </xf>
    <xf numFmtId="165" fontId="0" fillId="0" borderId="0" xfId="0" applyNumberFormat="1" applyAlignment="1">
      <alignment horizontal="center"/>
    </xf>
    <xf numFmtId="0" fontId="0" fillId="9" borderId="0" xfId="0" applyFill="1"/>
    <xf numFmtId="0" fontId="24" fillId="4" borderId="25" xfId="0" applyFont="1" applyFill="1" applyBorder="1" applyAlignment="1">
      <alignment horizontal="center"/>
    </xf>
    <xf numFmtId="0" fontId="1" fillId="0" borderId="9" xfId="0" applyFont="1" applyBorder="1" applyAlignment="1">
      <alignment horizontal="center"/>
    </xf>
    <xf numFmtId="0" fontId="31" fillId="0" borderId="2" xfId="0" applyFont="1" applyBorder="1" applyAlignment="1">
      <alignment horizontal="center" wrapText="1"/>
    </xf>
    <xf numFmtId="0" fontId="61" fillId="0" borderId="27" xfId="0" applyFont="1" applyBorder="1"/>
    <xf numFmtId="0" fontId="61" fillId="0" borderId="23" xfId="0" applyFont="1" applyBorder="1"/>
    <xf numFmtId="0" fontId="61" fillId="0" borderId="0" xfId="0" applyFont="1"/>
    <xf numFmtId="170" fontId="0" fillId="5" borderId="0" xfId="0" applyNumberFormat="1" applyFill="1" applyAlignment="1">
      <alignment horizontal="center"/>
    </xf>
    <xf numFmtId="0" fontId="72" fillId="0" borderId="0" xfId="0" applyFont="1"/>
    <xf numFmtId="0" fontId="1" fillId="0" borderId="11" xfId="0" applyFont="1" applyBorder="1" applyAlignment="1">
      <alignment horizontal="center" wrapText="1"/>
    </xf>
    <xf numFmtId="170" fontId="0" fillId="0" borderId="0" xfId="0" applyNumberFormat="1"/>
    <xf numFmtId="0" fontId="4" fillId="0" borderId="0" xfId="0" applyFont="1" applyAlignment="1">
      <alignment horizontal="left"/>
    </xf>
    <xf numFmtId="1" fontId="0" fillId="0" borderId="34" xfId="0" applyNumberFormat="1" applyBorder="1"/>
    <xf numFmtId="0" fontId="30" fillId="0" borderId="0" xfId="0" applyFont="1" applyAlignment="1">
      <alignment horizontal="left"/>
    </xf>
    <xf numFmtId="1" fontId="30" fillId="0" borderId="0" xfId="0" applyNumberFormat="1" applyFont="1"/>
    <xf numFmtId="1" fontId="0" fillId="0" borderId="3" xfId="0" applyNumberFormat="1" applyBorder="1"/>
    <xf numFmtId="2" fontId="0" fillId="0" borderId="0" xfId="0" applyNumberFormat="1" applyAlignment="1">
      <alignment horizontal="right"/>
    </xf>
    <xf numFmtId="1" fontId="0" fillId="0" borderId="0" xfId="0" applyNumberFormat="1" applyAlignment="1">
      <alignment horizontal="right"/>
    </xf>
    <xf numFmtId="0" fontId="30" fillId="6" borderId="0" xfId="0" applyFont="1" applyFill="1" applyAlignment="1">
      <alignment horizontal="left"/>
    </xf>
    <xf numFmtId="0" fontId="44" fillId="3" borderId="2" xfId="0" applyFont="1" applyFill="1" applyBorder="1" applyAlignment="1">
      <alignment horizontal="center"/>
    </xf>
    <xf numFmtId="0" fontId="0" fillId="0" borderId="2" xfId="0" applyBorder="1" applyAlignment="1">
      <alignment horizontal="center"/>
    </xf>
    <xf numFmtId="0" fontId="0" fillId="0" borderId="2" xfId="0" applyBorder="1"/>
    <xf numFmtId="0" fontId="37" fillId="0" borderId="0" xfId="0" applyFont="1" applyAlignment="1">
      <alignment horizontal="left" wrapText="1"/>
    </xf>
    <xf numFmtId="0" fontId="55" fillId="0" borderId="0" xfId="0" applyFont="1" applyAlignment="1">
      <alignment horizontal="left" wrapText="1"/>
    </xf>
    <xf numFmtId="0" fontId="51" fillId="4" borderId="35" xfId="0" applyFont="1" applyFill="1" applyBorder="1" applyAlignment="1">
      <alignment horizontal="center"/>
    </xf>
    <xf numFmtId="0" fontId="0" fillId="0" borderId="35" xfId="0" applyBorder="1"/>
    <xf numFmtId="0" fontId="56" fillId="0" borderId="2" xfId="0" applyFont="1" applyBorder="1" applyAlignment="1">
      <alignment horizontal="center"/>
    </xf>
    <xf numFmtId="0" fontId="53" fillId="0" borderId="0" xfId="0" applyFont="1" applyAlignment="1">
      <alignment horizontal="center"/>
    </xf>
    <xf numFmtId="169" fontId="9" fillId="6" borderId="0" xfId="2" applyNumberFormat="1" applyFont="1" applyFill="1" applyAlignment="1" applyProtection="1">
      <alignment horizontal="center" vertical="center"/>
      <protection locked="0"/>
    </xf>
    <xf numFmtId="0" fontId="16" fillId="10" borderId="0" xfId="2" quotePrefix="1" applyFont="1" applyFill="1" applyProtection="1">
      <protection locked="0"/>
    </xf>
    <xf numFmtId="0" fontId="16" fillId="10" borderId="0" xfId="2" quotePrefix="1" applyFont="1" applyFill="1" applyAlignment="1" applyProtection="1">
      <alignment horizontal="left"/>
      <protection locked="0"/>
    </xf>
    <xf numFmtId="0" fontId="16" fillId="10" borderId="0" xfId="5" quotePrefix="1" applyFont="1" applyFill="1"/>
    <xf numFmtId="169" fontId="9" fillId="6" borderId="0" xfId="2" applyNumberFormat="1" applyFont="1" applyFill="1" applyAlignment="1" applyProtection="1">
      <alignment horizontal="center"/>
      <protection locked="0"/>
    </xf>
  </cellXfs>
  <cellStyles count="6">
    <cellStyle name="Normal" xfId="0" builtinId="0"/>
    <cellStyle name="Normal_Cowherd Dust Model" xfId="1" xr:uid="{00000000-0005-0000-0000-000001000000}"/>
    <cellStyle name="Normal_KARIMI" xfId="2" xr:uid="{00000000-0005-0000-0000-000002000000}"/>
    <cellStyle name="Normal_NAPA_AR2" xfId="3" xr:uid="{00000000-0005-0000-0000-000003000000}"/>
    <cellStyle name="Normal_Off-site resid-curr-det-B1R1" xfId="4" xr:uid="{00000000-0005-0000-0000-000004000000}"/>
    <cellStyle name="Normal_Resident parameters (Table 3-4)" xfId="5" xr:uid="{00000000-0005-0000-0000-00000500000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4"/>
  <sheetViews>
    <sheetView tabSelected="1" topLeftCell="A35" zoomScaleNormal="100" zoomScalePageLayoutView="85" workbookViewId="0">
      <selection activeCell="E37" sqref="E37"/>
    </sheetView>
  </sheetViews>
  <sheetFormatPr defaultColWidth="11.44140625" defaultRowHeight="14.4" x14ac:dyDescent="0.3"/>
  <cols>
    <col min="1" max="1" width="52.88671875" customWidth="1"/>
    <col min="2" max="2" width="12.109375" bestFit="1" customWidth="1"/>
    <col min="3" max="3" width="14.21875" customWidth="1"/>
    <col min="4" max="4" width="17.109375" bestFit="1" customWidth="1"/>
    <col min="5" max="5" width="18" customWidth="1"/>
    <col min="6" max="6" width="15.88671875" bestFit="1" customWidth="1"/>
    <col min="7" max="7" width="20.33203125" customWidth="1"/>
    <col min="8" max="8" width="17.33203125" customWidth="1"/>
    <col min="9" max="9" width="17.109375" bestFit="1" customWidth="1"/>
    <col min="10" max="10" width="14.88671875" bestFit="1" customWidth="1"/>
    <col min="11" max="11" width="13.33203125" bestFit="1" customWidth="1"/>
    <col min="12" max="12" width="16" customWidth="1"/>
    <col min="13" max="13" width="11.6640625" customWidth="1"/>
    <col min="14" max="14" width="36" bestFit="1" customWidth="1"/>
  </cols>
  <sheetData>
    <row r="1" spans="1:13" ht="21" x14ac:dyDescent="0.4">
      <c r="A1" s="174" t="s">
        <v>323</v>
      </c>
    </row>
    <row r="2" spans="1:13" ht="21" x14ac:dyDescent="0.4">
      <c r="A2" s="174" t="s">
        <v>316</v>
      </c>
    </row>
    <row r="3" spans="1:13" ht="21" x14ac:dyDescent="0.4">
      <c r="A3" s="174" t="s">
        <v>320</v>
      </c>
    </row>
    <row r="4" spans="1:13" ht="21" x14ac:dyDescent="0.4">
      <c r="A4" s="174" t="s">
        <v>321</v>
      </c>
    </row>
    <row r="5" spans="1:13" ht="21" x14ac:dyDescent="0.4">
      <c r="A5" s="174"/>
    </row>
    <row r="7" spans="1:13" ht="21" x14ac:dyDescent="0.4">
      <c r="A7" s="182" t="s">
        <v>283</v>
      </c>
      <c r="B7" s="184"/>
      <c r="C7" s="184"/>
      <c r="D7" s="184"/>
      <c r="E7" s="184"/>
      <c r="F7" s="184"/>
      <c r="G7" s="184"/>
      <c r="H7" s="184"/>
      <c r="I7" s="184"/>
      <c r="J7" s="184"/>
      <c r="K7" s="184"/>
      <c r="L7" s="184"/>
    </row>
    <row r="8" spans="1:13" ht="21" x14ac:dyDescent="0.4">
      <c r="A8" s="183" t="s">
        <v>376</v>
      </c>
      <c r="B8" s="167"/>
      <c r="C8" s="167"/>
      <c r="D8" s="167"/>
      <c r="E8" s="167"/>
      <c r="F8" s="167"/>
      <c r="G8" s="167"/>
      <c r="H8" s="167"/>
      <c r="I8" s="167"/>
    </row>
    <row r="9" spans="1:13" ht="21" x14ac:dyDescent="0.4">
      <c r="A9" s="174" t="s">
        <v>284</v>
      </c>
    </row>
    <row r="10" spans="1:13" ht="21" x14ac:dyDescent="0.4">
      <c r="A10" s="175" t="s">
        <v>322</v>
      </c>
      <c r="B10" s="123"/>
      <c r="C10" s="123"/>
      <c r="D10" s="123"/>
      <c r="E10" s="123"/>
      <c r="F10" s="123"/>
      <c r="G10" s="123"/>
      <c r="H10" s="123"/>
      <c r="I10" s="123"/>
    </row>
    <row r="12" spans="1:13" ht="20.399999999999999" x14ac:dyDescent="0.45">
      <c r="B12" s="149" t="s">
        <v>426</v>
      </c>
    </row>
    <row r="13" spans="1:13" ht="20.399999999999999" x14ac:dyDescent="0.45">
      <c r="B13" s="149" t="s">
        <v>425</v>
      </c>
    </row>
    <row r="14" spans="1:13" ht="22.2" thickBot="1" x14ac:dyDescent="0.5">
      <c r="A14" s="122" t="s">
        <v>291</v>
      </c>
      <c r="B14" s="149" t="s">
        <v>385</v>
      </c>
      <c r="C14" s="121"/>
      <c r="D14" s="121"/>
      <c r="E14" s="121"/>
      <c r="F14" s="121"/>
      <c r="G14" s="121"/>
      <c r="H14" s="121"/>
      <c r="I14" s="121"/>
      <c r="J14" s="121"/>
      <c r="K14" s="121"/>
      <c r="L14" s="121"/>
      <c r="M14" s="121"/>
    </row>
    <row r="15" spans="1:13" ht="19.2" thickTop="1" thickBot="1" x14ac:dyDescent="0.4">
      <c r="A15" s="112"/>
      <c r="B15" s="113"/>
      <c r="C15" s="242" t="s">
        <v>362</v>
      </c>
      <c r="D15" s="242"/>
      <c r="E15" s="242"/>
      <c r="F15" s="243"/>
      <c r="G15" s="243"/>
    </row>
    <row r="16" spans="1:13" ht="18.600000000000001" thickTop="1" x14ac:dyDescent="0.35">
      <c r="A16" s="114" t="s">
        <v>253</v>
      </c>
      <c r="B16" s="116" t="s">
        <v>24</v>
      </c>
      <c r="C16" s="117" t="s">
        <v>126</v>
      </c>
      <c r="D16" s="117" t="s">
        <v>127</v>
      </c>
      <c r="E16" s="117" t="s">
        <v>37</v>
      </c>
      <c r="F16" s="117" t="s">
        <v>38</v>
      </c>
      <c r="G16" s="131" t="s">
        <v>295</v>
      </c>
    </row>
    <row r="17" spans="1:12" ht="15.6" x14ac:dyDescent="0.3">
      <c r="A17" s="156" t="s">
        <v>117</v>
      </c>
      <c r="B17" s="128" t="s">
        <v>223</v>
      </c>
      <c r="C17" s="154">
        <f>C$20*'IUR calculation'!F$13*( (C$44+(C$43*C$45))*C$41 /C$47 )</f>
        <v>3.034886764119027E-9</v>
      </c>
      <c r="D17" s="154">
        <f>D$20*'IUR calculation'!G$13*( (D$44+(D$43*D$45))*D$41 /D$47 )</f>
        <v>6.4214827545476298E-10</v>
      </c>
      <c r="E17" s="154">
        <f>E$20*'IUR calculation'!H$13*( (E$44+(E$43*E$45))*E$41 /E$47 )</f>
        <v>1.0501676054807345E-10</v>
      </c>
      <c r="F17" s="154">
        <f>F$20*'IUR calculation'!I$13*( (F$44+(F$43*F$45))*F$41 /F$47 )</f>
        <v>4.6674115799143755E-11</v>
      </c>
      <c r="G17" s="154">
        <f>G$20*'IUR calculation'!J$13*( (G$44+(G$43*G$45))*G$41 /G$47 )</f>
        <v>5.3797751755601615E-10</v>
      </c>
    </row>
    <row r="18" spans="1:12" ht="16.2" thickBot="1" x14ac:dyDescent="0.35">
      <c r="A18" s="157" t="s">
        <v>118</v>
      </c>
      <c r="B18" s="129" t="s">
        <v>223</v>
      </c>
      <c r="C18" s="155">
        <f>C$21*'IUR calculation'!F$13*( (C$44+(C$43*C$45))*C$41 / C$47 )</f>
        <v>7.8438231900493734E-9</v>
      </c>
      <c r="D18" s="155">
        <f>D$21*'IUR calculation'!G$13*( (D$44+(D$43*D$45))*D$41 / D$47 )</f>
        <v>1.6596657226268556E-9</v>
      </c>
      <c r="E18" s="155">
        <f>E$21*'IUR calculation'!H$13*( (E$44+(E$43*E$45))*E$41 / E$47 )</f>
        <v>2.7142129698863924E-10</v>
      </c>
      <c r="F18" s="155">
        <f>F$21*'IUR calculation'!I$13*( (F$44+(F$43*F$45))*F$41 / F$47 )</f>
        <v>1.2063168755050633E-10</v>
      </c>
      <c r="G18" s="155">
        <f>G$21*'IUR calculation'!J$13*( (G$44+(G$43*G$45))*G$41 / G$47 )</f>
        <v>1.3904309636264161E-9</v>
      </c>
    </row>
    <row r="19" spans="1:12" ht="18.600000000000001" thickTop="1" x14ac:dyDescent="0.35">
      <c r="A19" s="115" t="s">
        <v>116</v>
      </c>
      <c r="B19" s="92"/>
      <c r="C19" s="118"/>
      <c r="D19" s="118"/>
      <c r="E19" s="118"/>
      <c r="F19" s="118"/>
      <c r="G19" s="118"/>
    </row>
    <row r="20" spans="1:12" ht="35.4" x14ac:dyDescent="0.3">
      <c r="A20" s="158" t="s">
        <v>122</v>
      </c>
      <c r="B20" s="92" t="s">
        <v>384</v>
      </c>
      <c r="C20" s="118">
        <f>($C$30/C$49)</f>
        <v>2.5977322985838769E-6</v>
      </c>
      <c r="D20" s="118">
        <f t="shared" ref="D20:G20" si="0">($C$30/D$49)</f>
        <v>8.3287707695099053E-9</v>
      </c>
      <c r="E20" s="118">
        <f t="shared" si="0"/>
        <v>6.97765857846596E-9</v>
      </c>
      <c r="F20" s="118">
        <f t="shared" si="0"/>
        <v>6.97765857846596E-9</v>
      </c>
      <c r="G20" s="118">
        <f t="shared" si="0"/>
        <v>6.97765857846596E-9</v>
      </c>
      <c r="H20" s="118"/>
      <c r="I20" s="118"/>
      <c r="J20" s="118"/>
      <c r="K20" s="118"/>
      <c r="L20" s="118"/>
    </row>
    <row r="21" spans="1:12" ht="18" thickBot="1" x14ac:dyDescent="0.35">
      <c r="A21" s="159" t="s">
        <v>119</v>
      </c>
      <c r="B21" s="160" t="s">
        <v>384</v>
      </c>
      <c r="C21" s="119">
        <f>($C$32/C$49)</f>
        <v>6.7139746649121876E-6</v>
      </c>
      <c r="D21" s="119">
        <f t="shared" ref="D21:G21" si="1">($C$32/D$49)</f>
        <v>2.1526142615555253E-8</v>
      </c>
      <c r="E21" s="119">
        <f t="shared" si="1"/>
        <v>1.8034122662202795E-8</v>
      </c>
      <c r="F21" s="119">
        <f t="shared" si="1"/>
        <v>1.8034122662202795E-8</v>
      </c>
      <c r="G21" s="119">
        <f t="shared" si="1"/>
        <v>1.8034122662202795E-8</v>
      </c>
      <c r="H21" s="118"/>
      <c r="I21" s="118"/>
      <c r="J21" s="118"/>
      <c r="K21" s="118"/>
      <c r="L21" s="118"/>
    </row>
    <row r="22" spans="1:12" ht="18" thickTop="1" x14ac:dyDescent="0.3">
      <c r="A22" s="240" t="s">
        <v>120</v>
      </c>
      <c r="B22" s="241"/>
      <c r="C22" s="241"/>
      <c r="D22" s="241"/>
    </row>
    <row r="23" spans="1:12" ht="18" customHeight="1" x14ac:dyDescent="0.3">
      <c r="A23" s="240" t="s">
        <v>121</v>
      </c>
      <c r="B23" s="241"/>
      <c r="C23" s="241"/>
      <c r="D23" s="241"/>
    </row>
    <row r="24" spans="1:12" x14ac:dyDescent="0.3">
      <c r="A24" s="110"/>
      <c r="C24" s="86"/>
    </row>
    <row r="25" spans="1:12" ht="15" thickBot="1" x14ac:dyDescent="0.35">
      <c r="B25" s="85"/>
      <c r="C25" s="85"/>
    </row>
    <row r="26" spans="1:12" ht="15" thickBot="1" x14ac:dyDescent="0.35">
      <c r="A26" s="89"/>
      <c r="B26" s="96"/>
      <c r="C26" s="219" t="s">
        <v>363</v>
      </c>
    </row>
    <row r="27" spans="1:12" s="92" customFormat="1" ht="16.8" thickTop="1" thickBot="1" x14ac:dyDescent="0.4">
      <c r="A27" s="97" t="s">
        <v>222</v>
      </c>
      <c r="B27" s="88" t="s">
        <v>24</v>
      </c>
      <c r="C27" s="220" t="s">
        <v>364</v>
      </c>
    </row>
    <row r="28" spans="1:12" ht="15" thickTop="1" x14ac:dyDescent="0.3">
      <c r="A28" s="91" t="s">
        <v>230</v>
      </c>
      <c r="B28" s="92" t="s">
        <v>424</v>
      </c>
      <c r="C28" s="233">
        <f>'Data and Analytical Sensitivity'!G5</f>
        <v>4166.666666666667</v>
      </c>
      <c r="D28" s="166" t="s">
        <v>286</v>
      </c>
    </row>
    <row r="29" spans="1:12" x14ac:dyDescent="0.3">
      <c r="A29" s="90" t="s">
        <v>231</v>
      </c>
      <c r="B29" s="92" t="s">
        <v>131</v>
      </c>
      <c r="C29" s="181">
        <f>'Data and Analytical Sensitivity'!G8</f>
        <v>3</v>
      </c>
      <c r="D29" s="166" t="s">
        <v>285</v>
      </c>
    </row>
    <row r="30" spans="1:12" ht="15.6" x14ac:dyDescent="0.35">
      <c r="A30" s="91" t="s">
        <v>10</v>
      </c>
      <c r="B30" s="92" t="s">
        <v>424</v>
      </c>
      <c r="C30" s="235">
        <f>C28*C29</f>
        <v>12500</v>
      </c>
      <c r="D30" s="13"/>
      <c r="E30" s="14"/>
      <c r="F30" s="14"/>
    </row>
    <row r="31" spans="1:12" x14ac:dyDescent="0.3">
      <c r="A31" s="91" t="s">
        <v>224</v>
      </c>
      <c r="B31" s="94" t="s">
        <v>225</v>
      </c>
      <c r="C31" s="234">
        <f>CHIINV(0.05,(C29+1)*2)/2</f>
        <v>7.7536565279327263</v>
      </c>
      <c r="D31" s="95"/>
    </row>
    <row r="32" spans="1:12" ht="15.6" x14ac:dyDescent="0.35">
      <c r="A32" s="91" t="s">
        <v>11</v>
      </c>
      <c r="B32" s="92" t="s">
        <v>424</v>
      </c>
      <c r="C32" s="207">
        <f>C28*C31</f>
        <v>32306.902199719694</v>
      </c>
    </row>
    <row r="33" spans="1:16" ht="15" thickBot="1" x14ac:dyDescent="0.35">
      <c r="A33" s="222" t="s">
        <v>65</v>
      </c>
      <c r="B33" s="223"/>
      <c r="C33" s="223"/>
      <c r="D33" s="224"/>
      <c r="E33" s="93"/>
      <c r="F33" s="93"/>
      <c r="G33" s="93"/>
      <c r="H33" s="93"/>
    </row>
    <row r="34" spans="1:16" x14ac:dyDescent="0.3">
      <c r="A34" s="93"/>
      <c r="B34" s="93"/>
      <c r="C34" s="93"/>
      <c r="D34" s="93"/>
      <c r="E34" s="93"/>
      <c r="F34" s="93"/>
      <c r="G34" s="93"/>
      <c r="H34" s="93"/>
    </row>
    <row r="35" spans="1:16" x14ac:dyDescent="0.3">
      <c r="A35" s="93"/>
      <c r="B35" s="93"/>
      <c r="C35" s="93"/>
      <c r="D35" s="93"/>
      <c r="E35" s="93"/>
      <c r="F35" s="93"/>
      <c r="G35" s="93"/>
      <c r="H35" s="93"/>
    </row>
    <row r="36" spans="1:16" ht="30.75" customHeight="1" thickBot="1" x14ac:dyDescent="0.45">
      <c r="A36" s="124" t="s">
        <v>290</v>
      </c>
      <c r="B36" s="125"/>
      <c r="C36" s="125"/>
      <c r="D36" s="211"/>
    </row>
    <row r="37" spans="1:16" ht="20.100000000000001" customHeight="1" x14ac:dyDescent="0.35">
      <c r="A37" s="178" t="s">
        <v>12</v>
      </c>
      <c r="B37" s="179" t="s">
        <v>13</v>
      </c>
      <c r="C37" s="179" t="s">
        <v>173</v>
      </c>
      <c r="D37" s="180">
        <v>30</v>
      </c>
    </row>
    <row r="38" spans="1:16" ht="20.100000000000001" customHeight="1" x14ac:dyDescent="0.3">
      <c r="A38" s="227" t="s">
        <v>375</v>
      </c>
      <c r="B38" s="87"/>
      <c r="C38" s="179"/>
      <c r="D38" s="179"/>
    </row>
    <row r="39" spans="1:16" x14ac:dyDescent="0.3">
      <c r="A39" s="178" t="s">
        <v>344</v>
      </c>
      <c r="B39">
        <v>70</v>
      </c>
      <c r="C39" s="237" t="s">
        <v>125</v>
      </c>
      <c r="D39" s="238"/>
      <c r="E39" s="238"/>
      <c r="F39" s="238"/>
      <c r="G39" s="239"/>
      <c r="H39" s="87"/>
      <c r="I39" s="87"/>
      <c r="J39" s="87"/>
      <c r="K39" s="87"/>
      <c r="L39" s="87"/>
    </row>
    <row r="40" spans="1:16" ht="15" thickBot="1" x14ac:dyDescent="0.35">
      <c r="B40" s="88" t="s">
        <v>24</v>
      </c>
      <c r="C40" s="197" t="s">
        <v>126</v>
      </c>
      <c r="D40" s="197" t="s">
        <v>127</v>
      </c>
      <c r="E40" s="200" t="s">
        <v>37</v>
      </c>
      <c r="F40" s="200" t="s">
        <v>38</v>
      </c>
      <c r="G40" s="146" t="s">
        <v>295</v>
      </c>
    </row>
    <row r="41" spans="1:16" ht="15" thickTop="1" x14ac:dyDescent="0.3">
      <c r="A41" s="91" t="s">
        <v>123</v>
      </c>
      <c r="B41" s="92" t="s">
        <v>130</v>
      </c>
      <c r="C41" s="167">
        <v>250</v>
      </c>
      <c r="D41" s="167">
        <v>350</v>
      </c>
      <c r="E41" s="167">
        <v>225</v>
      </c>
      <c r="F41" s="167">
        <v>250</v>
      </c>
      <c r="G41" s="168">
        <v>350</v>
      </c>
    </row>
    <row r="42" spans="1:16" x14ac:dyDescent="0.3">
      <c r="A42" s="91" t="s">
        <v>124</v>
      </c>
      <c r="B42" s="92" t="s">
        <v>129</v>
      </c>
      <c r="C42" s="196">
        <v>1</v>
      </c>
      <c r="D42" s="205">
        <v>26</v>
      </c>
      <c r="E42" s="167">
        <v>25</v>
      </c>
      <c r="F42" s="167">
        <v>25</v>
      </c>
      <c r="G42" s="169">
        <v>26</v>
      </c>
      <c r="H42" s="173" t="s">
        <v>390</v>
      </c>
      <c r="O42" s="120"/>
      <c r="P42" s="120"/>
    </row>
    <row r="43" spans="1:16" ht="15.6" x14ac:dyDescent="0.35">
      <c r="A43" s="91" t="s">
        <v>338</v>
      </c>
      <c r="B43" s="92" t="s">
        <v>89</v>
      </c>
      <c r="C43" s="196">
        <v>0</v>
      </c>
      <c r="D43" s="167">
        <v>20</v>
      </c>
      <c r="E43" s="196">
        <v>0</v>
      </c>
      <c r="F43" s="196">
        <v>8</v>
      </c>
      <c r="G43" s="169">
        <v>20</v>
      </c>
      <c r="O43" s="120"/>
      <c r="P43" s="120"/>
    </row>
    <row r="44" spans="1:16" ht="15.6" x14ac:dyDescent="0.35">
      <c r="A44" s="91" t="s">
        <v>339</v>
      </c>
      <c r="B44" s="92" t="s">
        <v>89</v>
      </c>
      <c r="C44" s="196">
        <v>8</v>
      </c>
      <c r="D44" s="196">
        <v>4</v>
      </c>
      <c r="E44" s="196">
        <v>8</v>
      </c>
      <c r="F44" s="196">
        <v>0</v>
      </c>
      <c r="G44" s="206">
        <v>4</v>
      </c>
      <c r="O44" s="120"/>
      <c r="P44" s="120"/>
    </row>
    <row r="45" spans="1:16" ht="15.6" x14ac:dyDescent="0.35">
      <c r="A45" s="91" t="s">
        <v>88</v>
      </c>
      <c r="B45" s="92" t="s">
        <v>131</v>
      </c>
      <c r="C45" s="196">
        <v>0</v>
      </c>
      <c r="D45" s="167">
        <v>0.4</v>
      </c>
      <c r="E45" s="196">
        <v>0</v>
      </c>
      <c r="F45" s="167">
        <v>0.4</v>
      </c>
      <c r="G45" s="169">
        <v>0.4</v>
      </c>
      <c r="O45" s="120"/>
      <c r="P45" s="120"/>
    </row>
    <row r="46" spans="1:16" ht="15.6" customHeight="1" x14ac:dyDescent="0.35">
      <c r="A46" s="91" t="s">
        <v>340</v>
      </c>
      <c r="B46" s="92" t="s">
        <v>294</v>
      </c>
      <c r="C46" s="207">
        <f>C44+(C43*C45)</f>
        <v>8</v>
      </c>
      <c r="D46" s="208">
        <f>D44+(D43*D45)</f>
        <v>12</v>
      </c>
      <c r="E46" s="207">
        <f>E44+(E43*E45)</f>
        <v>8</v>
      </c>
      <c r="F46" s="207">
        <f>F44+(F43*F45)</f>
        <v>3.2</v>
      </c>
      <c r="G46" s="209">
        <f>G44+(G43*G45)</f>
        <v>12</v>
      </c>
      <c r="H46" s="120" t="s">
        <v>387</v>
      </c>
      <c r="I46" s="120"/>
      <c r="J46" s="120"/>
      <c r="K46" s="120"/>
      <c r="L46" s="120"/>
      <c r="M46" s="120"/>
    </row>
    <row r="47" spans="1:16" ht="15" thickBot="1" x14ac:dyDescent="0.35">
      <c r="A47" s="130" t="s">
        <v>388</v>
      </c>
      <c r="B47" s="129" t="s">
        <v>389</v>
      </c>
      <c r="C47" s="210">
        <v>8760</v>
      </c>
      <c r="D47" s="210">
        <v>8760</v>
      </c>
      <c r="E47" s="210">
        <v>8760</v>
      </c>
      <c r="F47" s="210">
        <v>8760</v>
      </c>
      <c r="G47" s="230">
        <v>8760</v>
      </c>
    </row>
    <row r="48" spans="1:16" ht="16.8" thickTop="1" x14ac:dyDescent="0.3">
      <c r="A48" s="150" t="s">
        <v>332</v>
      </c>
      <c r="B48" s="151" t="s">
        <v>9</v>
      </c>
      <c r="C48" s="86">
        <f>'PEF Construction Scenario'!D68</f>
        <v>4811889.2030615425</v>
      </c>
      <c r="D48" s="86">
        <f>'PEF Off-Site Resident'!D53</f>
        <v>1500821711.3814917</v>
      </c>
      <c r="E48" s="86">
        <f>'PEF Comm-Indust Worker'!D15</f>
        <v>1791431876.3856926</v>
      </c>
      <c r="F48" s="86">
        <f>'PEF Comm-Indust Worker'!D15</f>
        <v>1791431876.3856926</v>
      </c>
      <c r="G48" s="193">
        <f>'PEF Onsite Resident'!D15</f>
        <v>1791431876.3856926</v>
      </c>
      <c r="H48" s="120" t="s">
        <v>305</v>
      </c>
    </row>
    <row r="49" spans="1:7" ht="16.8" thickBot="1" x14ac:dyDescent="0.35">
      <c r="A49" s="153" t="s">
        <v>332</v>
      </c>
      <c r="B49" s="152" t="s">
        <v>378</v>
      </c>
      <c r="C49" s="126">
        <f>C48*$B$51*$B$52</f>
        <v>4811889203.0615425</v>
      </c>
      <c r="D49" s="126">
        <f t="shared" ref="D49:G49" si="2">D48*$B$51*$B$52</f>
        <v>1500821711381.4917</v>
      </c>
      <c r="E49" s="126">
        <f t="shared" si="2"/>
        <v>1791431876385.6926</v>
      </c>
      <c r="F49" s="126">
        <f t="shared" si="2"/>
        <v>1791431876385.6926</v>
      </c>
      <c r="G49" s="127">
        <f t="shared" si="2"/>
        <v>1791431876385.6926</v>
      </c>
    </row>
    <row r="51" spans="1:7" ht="16.2" x14ac:dyDescent="0.3">
      <c r="A51" s="181" t="s">
        <v>379</v>
      </c>
      <c r="B51" s="228">
        <v>1000000</v>
      </c>
    </row>
    <row r="52" spans="1:7" x14ac:dyDescent="0.3">
      <c r="A52" s="181" t="s">
        <v>380</v>
      </c>
      <c r="B52">
        <v>1E-3</v>
      </c>
    </row>
    <row r="54" spans="1:7" x14ac:dyDescent="0.3">
      <c r="A54" s="147" t="s">
        <v>324</v>
      </c>
    </row>
    <row r="55" spans="1:7" x14ac:dyDescent="0.3">
      <c r="A55" t="s">
        <v>333</v>
      </c>
    </row>
    <row r="56" spans="1:7" x14ac:dyDescent="0.3">
      <c r="A56" t="s">
        <v>334</v>
      </c>
    </row>
    <row r="57" spans="1:7" ht="15.6" x14ac:dyDescent="0.35">
      <c r="A57" t="s">
        <v>335</v>
      </c>
    </row>
    <row r="58" spans="1:7" ht="15.6" x14ac:dyDescent="0.35">
      <c r="A58" t="s">
        <v>336</v>
      </c>
    </row>
    <row r="59" spans="1:7" ht="15.6" x14ac:dyDescent="0.35">
      <c r="A59" t="s">
        <v>337</v>
      </c>
    </row>
    <row r="60" spans="1:7" x14ac:dyDescent="0.3">
      <c r="A60" t="s">
        <v>381</v>
      </c>
    </row>
    <row r="62" spans="1:7" x14ac:dyDescent="0.3">
      <c r="A62" t="s">
        <v>342</v>
      </c>
    </row>
    <row r="63" spans="1:7" x14ac:dyDescent="0.3">
      <c r="A63" t="s">
        <v>341</v>
      </c>
    </row>
    <row r="64" spans="1:7" x14ac:dyDescent="0.3">
      <c r="A64" t="s">
        <v>343</v>
      </c>
    </row>
  </sheetData>
  <mergeCells count="4">
    <mergeCell ref="C39:G39"/>
    <mergeCell ref="A22:D22"/>
    <mergeCell ref="A23:D23"/>
    <mergeCell ref="C15:G15"/>
  </mergeCells>
  <phoneticPr fontId="57" type="noConversion"/>
  <pageMargins left="0.7" right="0.7" top="0.75" bottom="0.75" header="0.3" footer="0.3"/>
  <pageSetup orientation="portrait" r:id="rId1"/>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086F1-CF45-44ED-8A68-56B9B889966D}">
  <dimension ref="A1:S15"/>
  <sheetViews>
    <sheetView workbookViewId="0">
      <selection activeCell="F19" sqref="F19"/>
    </sheetView>
  </sheetViews>
  <sheetFormatPr defaultRowHeight="14.4" x14ac:dyDescent="0.3"/>
  <cols>
    <col min="6" max="6" width="12" customWidth="1"/>
    <col min="8" max="9" width="12.44140625" customWidth="1"/>
    <col min="10" max="10" width="9.109375" customWidth="1"/>
  </cols>
  <sheetData>
    <row r="1" spans="1:19" x14ac:dyDescent="0.3">
      <c r="A1" s="212" t="s">
        <v>358</v>
      </c>
    </row>
    <row r="3" spans="1:19" ht="15.6" x14ac:dyDescent="0.35">
      <c r="A3" t="s">
        <v>345</v>
      </c>
    </row>
    <row r="5" spans="1:19" x14ac:dyDescent="0.3">
      <c r="A5" t="s">
        <v>346</v>
      </c>
      <c r="E5" t="s">
        <v>347</v>
      </c>
    </row>
    <row r="6" spans="1:19" ht="28.8" x14ac:dyDescent="0.3">
      <c r="B6" s="181" t="s">
        <v>348</v>
      </c>
      <c r="C6" s="213">
        <v>-1.7640099999999999E-2</v>
      </c>
      <c r="F6" s="214" t="s">
        <v>126</v>
      </c>
      <c r="G6" s="110" t="s">
        <v>361</v>
      </c>
      <c r="H6" s="214" t="s">
        <v>359</v>
      </c>
      <c r="I6" s="214" t="s">
        <v>359</v>
      </c>
      <c r="J6" s="110" t="s">
        <v>360</v>
      </c>
      <c r="L6" s="110"/>
      <c r="M6" s="110"/>
      <c r="N6" s="110"/>
      <c r="O6" s="110"/>
      <c r="P6" s="110"/>
      <c r="Q6" s="110"/>
      <c r="R6" s="110"/>
      <c r="S6" s="110"/>
    </row>
    <row r="7" spans="1:19" x14ac:dyDescent="0.3">
      <c r="B7" s="181" t="s">
        <v>349</v>
      </c>
      <c r="C7" s="213">
        <v>0.2492567</v>
      </c>
      <c r="E7" s="181" t="s">
        <v>350</v>
      </c>
      <c r="F7">
        <v>18</v>
      </c>
      <c r="G7">
        <v>0</v>
      </c>
      <c r="H7">
        <v>18</v>
      </c>
      <c r="I7">
        <v>18</v>
      </c>
      <c r="J7">
        <v>0</v>
      </c>
    </row>
    <row r="8" spans="1:19" x14ac:dyDescent="0.3">
      <c r="B8" s="181" t="s">
        <v>351</v>
      </c>
      <c r="C8" s="213">
        <v>24.078069410000001</v>
      </c>
      <c r="E8" s="181" t="s">
        <v>352</v>
      </c>
      <c r="F8" s="218">
        <f>Risk_Calculations!C42</f>
        <v>1</v>
      </c>
      <c r="G8" s="218">
        <f>Risk_Calculations!D42</f>
        <v>26</v>
      </c>
      <c r="H8" s="218">
        <f>Risk_Calculations!E42</f>
        <v>25</v>
      </c>
      <c r="I8" s="218">
        <f>Risk_Calculations!F42</f>
        <v>25</v>
      </c>
      <c r="J8" s="218">
        <f>Risk_Calculations!D42</f>
        <v>26</v>
      </c>
    </row>
    <row r="9" spans="1:19" x14ac:dyDescent="0.3">
      <c r="B9" s="181" t="s">
        <v>353</v>
      </c>
      <c r="C9" s="213">
        <v>4.15839E-2</v>
      </c>
    </row>
    <row r="10" spans="1:19" x14ac:dyDescent="0.3">
      <c r="B10" s="181" t="s">
        <v>354</v>
      </c>
      <c r="C10" s="213">
        <v>3.9972999999999996E-3</v>
      </c>
      <c r="E10" s="181" t="s">
        <v>355</v>
      </c>
      <c r="F10">
        <f xml:space="preserve"> $C$6 + ($C$7 * EXP(-F7/$C$8))</f>
        <v>0.10038709310235586</v>
      </c>
      <c r="G10">
        <f t="shared" ref="G10" si="0" xml:space="preserve"> $C$6 + ($C$7 * EXP(-G7/$C$8))</f>
        <v>0.23161660000000001</v>
      </c>
      <c r="H10">
        <f xml:space="preserve"> $C$6 + ($C$7 * EXP(-H7/$C$8))</f>
        <v>0.10038709310235586</v>
      </c>
      <c r="I10">
        <f xml:space="preserve"> $C$6 + ($C$7 * EXP(-I7/$C$8))</f>
        <v>0.10038709310235586</v>
      </c>
      <c r="J10">
        <f xml:space="preserve"> $C$6 + ($C$7 * EXP(-J7/$C$8))</f>
        <v>0.23161660000000001</v>
      </c>
    </row>
    <row r="11" spans="1:19" x14ac:dyDescent="0.3">
      <c r="B11" s="181" t="s">
        <v>356</v>
      </c>
      <c r="C11" s="213">
        <v>-18.221263199999999</v>
      </c>
      <c r="E11" s="181" t="s">
        <v>357</v>
      </c>
      <c r="F11">
        <f xml:space="preserve"> $C$9 + ($C$10* EXP(-F7/$C$11))</f>
        <v>5.2318541136097199E-2</v>
      </c>
      <c r="G11">
        <f t="shared" ref="G11" si="1" xml:space="preserve"> $C$9 + ($C$10* EXP(-G7/$C$11))</f>
        <v>4.5581200000000002E-2</v>
      </c>
      <c r="H11">
        <f xml:space="preserve"> $C$9 + ($C$10* EXP(-H7/$C$11))</f>
        <v>5.2318541136097199E-2</v>
      </c>
      <c r="I11">
        <f xml:space="preserve"> $C$9 + ($C$10* EXP(-I7/$C$11))</f>
        <v>5.2318541136097199E-2</v>
      </c>
      <c r="J11">
        <f xml:space="preserve"> $C$9 + ($C$10* EXP(-J7/$C$11))</f>
        <v>4.5581200000000002E-2</v>
      </c>
    </row>
    <row r="13" spans="1:19" x14ac:dyDescent="0.3">
      <c r="E13" s="181" t="s">
        <v>377</v>
      </c>
      <c r="F13" s="217">
        <f xml:space="preserve"> F10 * (1 - EXP(-F11 * F8))</f>
        <v>5.1170800140136665E-3</v>
      </c>
      <c r="G13" s="215">
        <f t="shared" ref="G13" si="2" xml:space="preserve"> G10 * (1 - EXP(-G11 * G8))</f>
        <v>0.16080858373073018</v>
      </c>
      <c r="H13" s="216">
        <f xml:space="preserve"> H10 * (1 - EXP(-H11 * H8))</f>
        <v>7.3245424987960009E-2</v>
      </c>
      <c r="I13" s="216">
        <f xml:space="preserve"> I10 * (1 - EXP(-I11 * I8))</f>
        <v>7.3245424987960009E-2</v>
      </c>
      <c r="J13" s="215">
        <f xml:space="preserve"> J10 * (1 - EXP(-J11 * J8))</f>
        <v>0.16080858373073018</v>
      </c>
      <c r="L13" s="215"/>
      <c r="M13" s="216"/>
      <c r="N13" s="216"/>
      <c r="O13" s="216"/>
      <c r="P13" s="215"/>
      <c r="Q13" s="216"/>
      <c r="R13" s="216"/>
      <c r="S13" s="215"/>
    </row>
    <row r="15" spans="1:19" ht="15.6" x14ac:dyDescent="0.3">
      <c r="A15" s="226" t="s">
        <v>374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7"/>
  <sheetViews>
    <sheetView topLeftCell="A24" zoomScaleNormal="100" workbookViewId="0">
      <selection activeCell="E51" sqref="E51"/>
    </sheetView>
  </sheetViews>
  <sheetFormatPr defaultColWidth="11.44140625" defaultRowHeight="14.4" x14ac:dyDescent="0.3"/>
  <cols>
    <col min="1" max="1" width="79.88671875" customWidth="1"/>
    <col min="2" max="2" width="12.44140625" bestFit="1" customWidth="1"/>
    <col min="3" max="3" width="16.33203125" bestFit="1" customWidth="1"/>
    <col min="4" max="4" width="9.44140625" style="49" customWidth="1"/>
  </cols>
  <sheetData>
    <row r="1" spans="1:6" ht="18" x14ac:dyDescent="0.35">
      <c r="A1" s="244" t="s">
        <v>191</v>
      </c>
      <c r="B1" s="244"/>
      <c r="C1" s="244"/>
      <c r="D1" s="244"/>
      <c r="E1" s="244"/>
      <c r="F1" s="244"/>
    </row>
    <row r="2" spans="1:6" x14ac:dyDescent="0.3">
      <c r="A2" s="2" t="s">
        <v>25</v>
      </c>
      <c r="B2" s="3" t="s">
        <v>28</v>
      </c>
      <c r="C2" s="3" t="s">
        <v>24</v>
      </c>
      <c r="D2" s="40" t="s">
        <v>26</v>
      </c>
    </row>
    <row r="3" spans="1:6" x14ac:dyDescent="0.3">
      <c r="A3" s="70" t="s">
        <v>29</v>
      </c>
      <c r="B3" s="71"/>
      <c r="C3" s="71"/>
      <c r="D3" s="69"/>
    </row>
    <row r="4" spans="1:6" ht="16.8" x14ac:dyDescent="0.35">
      <c r="A4" s="6" t="s">
        <v>30</v>
      </c>
      <c r="B4" s="7" t="s">
        <v>31</v>
      </c>
      <c r="C4" s="8" t="s">
        <v>32</v>
      </c>
      <c r="D4" s="135">
        <f>(0.036*(1-D5)*((D6/D7)^3)*D8*D9*D10*8760)</f>
        <v>184020.13079768314</v>
      </c>
    </row>
    <row r="5" spans="1:6" ht="16.2" x14ac:dyDescent="0.3">
      <c r="A5" s="9" t="s">
        <v>198</v>
      </c>
      <c r="B5" s="7" t="s">
        <v>199</v>
      </c>
      <c r="C5" s="10" t="s">
        <v>200</v>
      </c>
      <c r="D5" s="42">
        <v>0</v>
      </c>
    </row>
    <row r="6" spans="1:6" ht="16.8" x14ac:dyDescent="0.35">
      <c r="A6" s="9" t="s">
        <v>201</v>
      </c>
      <c r="B6" s="11" t="s">
        <v>202</v>
      </c>
      <c r="C6" s="11" t="s">
        <v>203</v>
      </c>
      <c r="D6" s="246">
        <v>3.3</v>
      </c>
    </row>
    <row r="7" spans="1:6" ht="16.8" x14ac:dyDescent="0.35">
      <c r="A7" s="9" t="s">
        <v>204</v>
      </c>
      <c r="B7" s="7" t="s">
        <v>205</v>
      </c>
      <c r="C7" s="8" t="s">
        <v>203</v>
      </c>
      <c r="D7" s="42">
        <v>11.32</v>
      </c>
    </row>
    <row r="8" spans="1:6" ht="16.8" x14ac:dyDescent="0.35">
      <c r="A8" s="9" t="s">
        <v>206</v>
      </c>
      <c r="B8" s="7" t="s">
        <v>207</v>
      </c>
      <c r="C8" s="10" t="s">
        <v>200</v>
      </c>
      <c r="D8" s="195">
        <v>0.19400000000000001</v>
      </c>
    </row>
    <row r="9" spans="1:6" ht="16.8" x14ac:dyDescent="0.35">
      <c r="A9" s="13" t="s">
        <v>208</v>
      </c>
      <c r="B9" s="14" t="s">
        <v>209</v>
      </c>
      <c r="C9" s="14" t="s">
        <v>210</v>
      </c>
      <c r="D9" s="7">
        <f>$D$44*4047</f>
        <v>121410</v>
      </c>
    </row>
    <row r="10" spans="1:6" ht="16.2" x14ac:dyDescent="0.3">
      <c r="A10" s="75" t="s">
        <v>211</v>
      </c>
      <c r="B10" s="43" t="s">
        <v>212</v>
      </c>
      <c r="C10" s="30" t="s">
        <v>213</v>
      </c>
      <c r="D10" s="172">
        <f>Risk_Calculations!C42</f>
        <v>1</v>
      </c>
      <c r="E10" s="166" t="s">
        <v>66</v>
      </c>
    </row>
    <row r="11" spans="1:6" ht="16.8" x14ac:dyDescent="0.35">
      <c r="A11" s="6" t="s">
        <v>303</v>
      </c>
      <c r="B11" s="7" t="s">
        <v>133</v>
      </c>
      <c r="C11" s="14" t="s">
        <v>32</v>
      </c>
      <c r="D11" s="135">
        <f>0.35*0.0016*(((D6/2.2)^1.3)/((D13/2)^1.4))*D12*D14*D15*D16*1000</f>
        <v>6299.6822616399459</v>
      </c>
    </row>
    <row r="12" spans="1:6" ht="16.8" x14ac:dyDescent="0.35">
      <c r="A12" s="15" t="s">
        <v>304</v>
      </c>
      <c r="B12" s="16" t="s">
        <v>134</v>
      </c>
      <c r="C12" s="14" t="s">
        <v>135</v>
      </c>
      <c r="D12" s="199">
        <v>1.68</v>
      </c>
    </row>
    <row r="13" spans="1:6" ht="16.2" x14ac:dyDescent="0.3">
      <c r="A13" s="15" t="s">
        <v>241</v>
      </c>
      <c r="B13" s="14" t="s">
        <v>136</v>
      </c>
      <c r="C13" s="14" t="s">
        <v>41</v>
      </c>
      <c r="D13" s="199">
        <v>12</v>
      </c>
    </row>
    <row r="14" spans="1:6" ht="18" x14ac:dyDescent="0.35">
      <c r="A14" s="13" t="s">
        <v>42</v>
      </c>
      <c r="B14" s="14" t="s">
        <v>43</v>
      </c>
      <c r="C14" s="14" t="s">
        <v>210</v>
      </c>
      <c r="D14" s="7">
        <f>D9/5</f>
        <v>24282</v>
      </c>
    </row>
    <row r="15" spans="1:6" ht="15.6" x14ac:dyDescent="0.35">
      <c r="A15" s="13" t="s">
        <v>239</v>
      </c>
      <c r="B15" s="14" t="s">
        <v>44</v>
      </c>
      <c r="C15" s="14" t="s">
        <v>45</v>
      </c>
      <c r="D15" s="7">
        <v>1</v>
      </c>
    </row>
    <row r="16" spans="1:6" ht="18" x14ac:dyDescent="0.35">
      <c r="A16" s="28" t="s">
        <v>46</v>
      </c>
      <c r="B16" s="20" t="s">
        <v>47</v>
      </c>
      <c r="C16" s="21" t="s">
        <v>200</v>
      </c>
      <c r="D16" s="43">
        <v>2</v>
      </c>
    </row>
    <row r="17" spans="1:4" x14ac:dyDescent="0.3">
      <c r="A17" s="15"/>
      <c r="B17" s="14"/>
      <c r="C17" s="14"/>
      <c r="D17" s="7"/>
    </row>
    <row r="18" spans="1:4" ht="16.8" x14ac:dyDescent="0.35">
      <c r="A18" s="18" t="s">
        <v>48</v>
      </c>
      <c r="B18" s="7" t="s">
        <v>49</v>
      </c>
      <c r="C18" s="14" t="s">
        <v>32</v>
      </c>
      <c r="D18" s="135">
        <f>0.75*(0.45*(D19^1.5)/(D20^1.4))*(D24/D21)*1000</f>
        <v>2470.4422434654425</v>
      </c>
    </row>
    <row r="19" spans="1:4" ht="16.2" x14ac:dyDescent="0.3">
      <c r="A19" s="9" t="s">
        <v>240</v>
      </c>
      <c r="B19" s="19" t="s">
        <v>50</v>
      </c>
      <c r="C19" s="14" t="s">
        <v>41</v>
      </c>
      <c r="D19" s="199">
        <v>6.9</v>
      </c>
    </row>
    <row r="20" spans="1:4" ht="16.2" x14ac:dyDescent="0.3">
      <c r="A20" s="15" t="s">
        <v>241</v>
      </c>
      <c r="B20" s="14" t="s">
        <v>136</v>
      </c>
      <c r="C20" s="14" t="s">
        <v>41</v>
      </c>
      <c r="D20" s="199">
        <f>D13</f>
        <v>12</v>
      </c>
    </row>
    <row r="21" spans="1:4" ht="16.8" x14ac:dyDescent="0.35">
      <c r="A21" s="15" t="s">
        <v>242</v>
      </c>
      <c r="B21" s="14" t="s">
        <v>51</v>
      </c>
      <c r="C21" s="14" t="s">
        <v>52</v>
      </c>
      <c r="D21" s="7">
        <v>11.4</v>
      </c>
    </row>
    <row r="22" spans="1:4" ht="15.6" x14ac:dyDescent="0.35">
      <c r="A22" s="15" t="s">
        <v>94</v>
      </c>
      <c r="B22" s="14" t="s">
        <v>35</v>
      </c>
      <c r="C22" s="17" t="s">
        <v>200</v>
      </c>
      <c r="D22" s="7">
        <v>3</v>
      </c>
    </row>
    <row r="23" spans="1:4" ht="15.6" x14ac:dyDescent="0.35">
      <c r="A23" s="15" t="s">
        <v>33</v>
      </c>
      <c r="B23" s="14" t="s">
        <v>34</v>
      </c>
      <c r="C23" s="14" t="s">
        <v>45</v>
      </c>
      <c r="D23" s="7">
        <v>2.44</v>
      </c>
    </row>
    <row r="24" spans="1:4" ht="16.8" x14ac:dyDescent="0.35">
      <c r="A24" s="77" t="s">
        <v>53</v>
      </c>
      <c r="B24" s="20" t="s">
        <v>54</v>
      </c>
      <c r="C24" s="20" t="s">
        <v>55</v>
      </c>
      <c r="D24" s="43">
        <f>(SQRT(D9)/D23)*SQRT(D9)*D22/1000</f>
        <v>149.27459016393445</v>
      </c>
    </row>
    <row r="25" spans="1:4" x14ac:dyDescent="0.3">
      <c r="A25" s="15"/>
      <c r="B25" s="14"/>
      <c r="C25" s="14"/>
      <c r="D25" s="7"/>
    </row>
    <row r="26" spans="1:4" ht="16.8" x14ac:dyDescent="0.35">
      <c r="A26" s="18" t="s">
        <v>56</v>
      </c>
      <c r="B26" s="7" t="s">
        <v>57</v>
      </c>
      <c r="C26" s="14" t="s">
        <v>32</v>
      </c>
      <c r="D26" s="135">
        <f>0.6*0.0056*(D27^2)*D30*1000</f>
        <v>65183.078478688527</v>
      </c>
    </row>
    <row r="27" spans="1:4" ht="16.8" x14ac:dyDescent="0.35">
      <c r="A27" s="15" t="s">
        <v>243</v>
      </c>
      <c r="B27" s="14" t="s">
        <v>58</v>
      </c>
      <c r="C27" s="14" t="s">
        <v>52</v>
      </c>
      <c r="D27" s="7">
        <v>11.4</v>
      </c>
    </row>
    <row r="28" spans="1:4" ht="15.6" x14ac:dyDescent="0.35">
      <c r="A28" s="15" t="s">
        <v>95</v>
      </c>
      <c r="B28" s="14" t="s">
        <v>96</v>
      </c>
      <c r="C28" s="17" t="s">
        <v>200</v>
      </c>
      <c r="D28" s="7">
        <v>3</v>
      </c>
    </row>
    <row r="29" spans="1:4" ht="15.6" x14ac:dyDescent="0.35">
      <c r="A29" s="15" t="s">
        <v>97</v>
      </c>
      <c r="B29" s="14" t="s">
        <v>98</v>
      </c>
      <c r="C29" s="14" t="s">
        <v>45</v>
      </c>
      <c r="D29" s="7">
        <v>2.44</v>
      </c>
    </row>
    <row r="30" spans="1:4" ht="16.8" x14ac:dyDescent="0.35">
      <c r="A30" s="77" t="s">
        <v>244</v>
      </c>
      <c r="B30" s="20" t="s">
        <v>59</v>
      </c>
      <c r="C30" s="20" t="s">
        <v>55</v>
      </c>
      <c r="D30" s="43">
        <f>(SQRT(D9)/D29)*SQRT(D9)*D28/1000</f>
        <v>149.27459016393445</v>
      </c>
    </row>
    <row r="31" spans="1:4" x14ac:dyDescent="0.3">
      <c r="A31" s="15"/>
      <c r="B31" s="14"/>
      <c r="C31" s="14"/>
      <c r="D31" s="7"/>
    </row>
    <row r="32" spans="1:4" ht="16.8" x14ac:dyDescent="0.35">
      <c r="A32" s="18" t="s">
        <v>60</v>
      </c>
      <c r="B32" s="7" t="s">
        <v>61</v>
      </c>
      <c r="C32" s="14" t="s">
        <v>32</v>
      </c>
      <c r="D32" s="135">
        <f>1.1*(D33^0.6)*D34*4047*0.0001*1000*D35</f>
        <v>17022.235320549207</v>
      </c>
    </row>
    <row r="33" spans="1:5" ht="16.2" x14ac:dyDescent="0.3">
      <c r="A33" s="9" t="s">
        <v>240</v>
      </c>
      <c r="B33" s="19" t="s">
        <v>50</v>
      </c>
      <c r="C33" s="14" t="s">
        <v>41</v>
      </c>
      <c r="D33" s="250">
        <v>6.9</v>
      </c>
    </row>
    <row r="34" spans="1:5" ht="15.6" x14ac:dyDescent="0.35">
      <c r="A34" s="13" t="s">
        <v>62</v>
      </c>
      <c r="B34" s="14" t="s">
        <v>63</v>
      </c>
      <c r="C34" s="14" t="s">
        <v>64</v>
      </c>
      <c r="D34" s="7">
        <f>D44/5</f>
        <v>6</v>
      </c>
    </row>
    <row r="35" spans="1:5" ht="15.6" x14ac:dyDescent="0.35">
      <c r="A35" s="28" t="s">
        <v>163</v>
      </c>
      <c r="B35" s="20" t="s">
        <v>47</v>
      </c>
      <c r="C35" s="21" t="s">
        <v>200</v>
      </c>
      <c r="D35" s="43">
        <v>2</v>
      </c>
    </row>
    <row r="36" spans="1:5" x14ac:dyDescent="0.3">
      <c r="A36" s="18"/>
      <c r="B36" s="14"/>
      <c r="C36" s="14"/>
      <c r="D36" s="7"/>
    </row>
    <row r="37" spans="1:5" ht="16.2" x14ac:dyDescent="0.3">
      <c r="A37" s="6" t="s">
        <v>164</v>
      </c>
      <c r="B37" s="53" t="s">
        <v>107</v>
      </c>
      <c r="C37" s="7" t="s">
        <v>165</v>
      </c>
      <c r="D37" s="57">
        <f>SUM(D4,D11,D18,D26,D32)/D9/D38</f>
        <v>7.1823180073158843E-8</v>
      </c>
    </row>
    <row r="38" spans="1:5" ht="16.2" x14ac:dyDescent="0.3">
      <c r="A38" s="77" t="s">
        <v>166</v>
      </c>
      <c r="B38" s="20" t="s">
        <v>27</v>
      </c>
      <c r="C38" s="20" t="s">
        <v>167</v>
      </c>
      <c r="D38" s="202">
        <f>D47*60*60</f>
        <v>31536000</v>
      </c>
      <c r="E38" s="173" t="s">
        <v>315</v>
      </c>
    </row>
    <row r="39" spans="1:5" x14ac:dyDescent="0.3">
      <c r="A39" s="15"/>
      <c r="B39" s="11"/>
      <c r="C39" s="11"/>
      <c r="D39" s="7"/>
    </row>
    <row r="40" spans="1:5" ht="16.2" x14ac:dyDescent="0.3">
      <c r="A40" s="18" t="s">
        <v>168</v>
      </c>
      <c r="B40" s="52" t="s">
        <v>105</v>
      </c>
      <c r="C40" s="14" t="s">
        <v>169</v>
      </c>
      <c r="D40" s="53">
        <f>D41*(EXP(((LN(D44)-D42)^2/D43)))</f>
        <v>7.0921927041212358</v>
      </c>
    </row>
    <row r="41" spans="1:5" ht="15.6" x14ac:dyDescent="0.3">
      <c r="A41" s="13" t="s">
        <v>170</v>
      </c>
      <c r="B41" s="14" t="s">
        <v>21</v>
      </c>
      <c r="C41" s="17" t="s">
        <v>200</v>
      </c>
      <c r="D41" s="7">
        <v>2.4538000000000002</v>
      </c>
    </row>
    <row r="42" spans="1:5" ht="15.6" x14ac:dyDescent="0.3">
      <c r="A42" s="13" t="s">
        <v>171</v>
      </c>
      <c r="B42" s="14" t="s">
        <v>22</v>
      </c>
      <c r="C42" s="17" t="s">
        <v>200</v>
      </c>
      <c r="D42" s="7">
        <v>17.565999999999999</v>
      </c>
    </row>
    <row r="43" spans="1:5" ht="15.6" x14ac:dyDescent="0.3">
      <c r="A43" s="13" t="s">
        <v>172</v>
      </c>
      <c r="B43" s="14" t="s">
        <v>23</v>
      </c>
      <c r="C43" s="17" t="s">
        <v>200</v>
      </c>
      <c r="D43" s="7">
        <v>189.04259999999999</v>
      </c>
    </row>
    <row r="44" spans="1:5" ht="15.6" x14ac:dyDescent="0.35">
      <c r="A44" s="13" t="s">
        <v>208</v>
      </c>
      <c r="B44" s="14" t="s">
        <v>209</v>
      </c>
      <c r="C44" s="14" t="s">
        <v>173</v>
      </c>
      <c r="D44" s="7">
        <f>Risk_Calculations!D37</f>
        <v>30</v>
      </c>
      <c r="E44" s="120" t="s">
        <v>15</v>
      </c>
    </row>
    <row r="45" spans="1:5" x14ac:dyDescent="0.3">
      <c r="A45" s="18"/>
      <c r="B45" s="14"/>
      <c r="C45" s="14"/>
      <c r="D45" s="7"/>
    </row>
    <row r="46" spans="1:5" ht="15.6" x14ac:dyDescent="0.3">
      <c r="A46" s="58" t="s">
        <v>174</v>
      </c>
      <c r="B46" s="52" t="s">
        <v>104</v>
      </c>
      <c r="C46" s="17" t="s">
        <v>200</v>
      </c>
      <c r="D46" s="203">
        <f>0.1852+(5.357/$D$47)+(-9.6318/($D$47^2))</f>
        <v>0.18581140416432101</v>
      </c>
    </row>
    <row r="47" spans="1:5" ht="16.2" thickBot="1" x14ac:dyDescent="0.4">
      <c r="A47" s="77" t="s">
        <v>91</v>
      </c>
      <c r="B47" s="14" t="s">
        <v>92</v>
      </c>
      <c r="C47" s="14" t="s">
        <v>93</v>
      </c>
      <c r="D47" s="204">
        <f>Risk_Calculations!$C42*8760</f>
        <v>8760</v>
      </c>
      <c r="E47" s="173" t="s">
        <v>325</v>
      </c>
    </row>
    <row r="48" spans="1:5" ht="16.8" thickTop="1" x14ac:dyDescent="0.3">
      <c r="A48" s="61" t="s">
        <v>175</v>
      </c>
      <c r="B48" s="62" t="s">
        <v>176</v>
      </c>
      <c r="C48" s="62" t="s">
        <v>70</v>
      </c>
      <c r="D48" s="63">
        <f>D40*(1/D46)*(1/D37)</f>
        <v>531426897.55586451</v>
      </c>
    </row>
    <row r="49" spans="1:4" x14ac:dyDescent="0.3">
      <c r="A49" s="6"/>
      <c r="B49" s="53"/>
      <c r="C49" s="53"/>
      <c r="D49" s="57"/>
    </row>
    <row r="50" spans="1:4" x14ac:dyDescent="0.3">
      <c r="A50" s="67" t="s">
        <v>71</v>
      </c>
      <c r="B50" s="68"/>
      <c r="C50" s="68"/>
      <c r="D50" s="69"/>
    </row>
    <row r="51" spans="1:4" ht="15.6" x14ac:dyDescent="0.3">
      <c r="A51" s="23" t="s">
        <v>72</v>
      </c>
      <c r="B51" s="24" t="s">
        <v>73</v>
      </c>
      <c r="C51" s="8" t="s">
        <v>45</v>
      </c>
      <c r="D51" s="12">
        <f>SQRT(D9)</f>
        <v>348.4393777976307</v>
      </c>
    </row>
    <row r="52" spans="1:4" ht="15.6" x14ac:dyDescent="0.3">
      <c r="A52" s="23" t="s">
        <v>74</v>
      </c>
      <c r="B52" s="24" t="s">
        <v>75</v>
      </c>
      <c r="C52" s="8" t="s">
        <v>45</v>
      </c>
      <c r="D52" s="12">
        <f>20*0.3048</f>
        <v>6.0960000000000001</v>
      </c>
    </row>
    <row r="53" spans="1:4" ht="15.6" x14ac:dyDescent="0.3">
      <c r="A53" s="23" t="s">
        <v>245</v>
      </c>
      <c r="B53" s="24" t="s">
        <v>76</v>
      </c>
      <c r="C53" s="8" t="s">
        <v>210</v>
      </c>
      <c r="D53" s="12">
        <f>D51*D52</f>
        <v>2124.0864470543565</v>
      </c>
    </row>
    <row r="54" spans="1:4" ht="15.6" x14ac:dyDescent="0.3">
      <c r="A54" s="13" t="s">
        <v>246</v>
      </c>
      <c r="B54" s="25" t="s">
        <v>50</v>
      </c>
      <c r="C54" s="24" t="s">
        <v>41</v>
      </c>
      <c r="D54" s="198">
        <v>8.5</v>
      </c>
    </row>
    <row r="55" spans="1:4" ht="15.6" x14ac:dyDescent="0.3">
      <c r="A55" s="26" t="s">
        <v>77</v>
      </c>
      <c r="B55" s="8" t="s">
        <v>78</v>
      </c>
      <c r="C55" s="8" t="s">
        <v>79</v>
      </c>
      <c r="D55" s="12">
        <v>8</v>
      </c>
    </row>
    <row r="56" spans="1:4" ht="15.6" x14ac:dyDescent="0.3">
      <c r="A56" s="23" t="s">
        <v>80</v>
      </c>
      <c r="B56" s="24" t="s">
        <v>247</v>
      </c>
      <c r="C56" s="24" t="s">
        <v>41</v>
      </c>
      <c r="D56" s="198">
        <v>0.2</v>
      </c>
    </row>
    <row r="57" spans="1:4" ht="15.6" x14ac:dyDescent="0.3">
      <c r="A57" s="26" t="s">
        <v>248</v>
      </c>
      <c r="B57" s="24" t="s">
        <v>81</v>
      </c>
      <c r="C57" s="8" t="s">
        <v>82</v>
      </c>
      <c r="D57" s="198">
        <v>27</v>
      </c>
    </row>
    <row r="58" spans="1:4" ht="15.6" x14ac:dyDescent="0.3">
      <c r="A58" s="26" t="s">
        <v>307</v>
      </c>
      <c r="B58" s="24" t="s">
        <v>308</v>
      </c>
      <c r="C58" s="8" t="s">
        <v>309</v>
      </c>
      <c r="D58" s="12">
        <v>30</v>
      </c>
    </row>
    <row r="59" spans="1:4" ht="15.6" x14ac:dyDescent="0.3">
      <c r="A59" s="26" t="s">
        <v>310</v>
      </c>
      <c r="B59" s="24" t="s">
        <v>311</v>
      </c>
      <c r="C59" s="8" t="s">
        <v>279</v>
      </c>
      <c r="D59" s="12">
        <f>D51</f>
        <v>348.4393777976307</v>
      </c>
    </row>
    <row r="60" spans="1:4" ht="15.6" x14ac:dyDescent="0.3">
      <c r="A60" s="23" t="s">
        <v>249</v>
      </c>
      <c r="B60" s="24" t="s">
        <v>4</v>
      </c>
      <c r="C60" s="24" t="s">
        <v>55</v>
      </c>
      <c r="D60" s="12">
        <f>D58*(D51)*((52/2)*5)/1000</f>
        <v>1358.9135734107597</v>
      </c>
    </row>
    <row r="61" spans="1:4" x14ac:dyDescent="0.3">
      <c r="A61" s="23"/>
      <c r="B61" s="8"/>
      <c r="C61" s="8"/>
      <c r="D61" s="12"/>
    </row>
    <row r="62" spans="1:4" ht="15.6" x14ac:dyDescent="0.3">
      <c r="A62" s="27" t="s">
        <v>5</v>
      </c>
      <c r="B62" s="24" t="s">
        <v>6</v>
      </c>
      <c r="C62" s="24" t="s">
        <v>169</v>
      </c>
      <c r="D62" s="12">
        <f>D63*(EXP(((LN(D44)-D64)^2/D65)))</f>
        <v>13.957936619856591</v>
      </c>
    </row>
    <row r="63" spans="1:4" ht="15.6" x14ac:dyDescent="0.3">
      <c r="A63" s="13" t="s">
        <v>170</v>
      </c>
      <c r="B63" s="24" t="s">
        <v>21</v>
      </c>
      <c r="C63" s="24"/>
      <c r="D63" s="12">
        <v>12.9351</v>
      </c>
    </row>
    <row r="64" spans="1:4" ht="15.6" x14ac:dyDescent="0.3">
      <c r="A64" s="13" t="s">
        <v>171</v>
      </c>
      <c r="B64" s="24" t="s">
        <v>22</v>
      </c>
      <c r="C64" s="24"/>
      <c r="D64" s="12">
        <v>5.7382999999999997</v>
      </c>
    </row>
    <row r="65" spans="1:5" ht="16.2" thickBot="1" x14ac:dyDescent="0.35">
      <c r="A65" s="13" t="s">
        <v>172</v>
      </c>
      <c r="B65" s="24" t="s">
        <v>23</v>
      </c>
      <c r="C65" s="24"/>
      <c r="D65" s="12">
        <v>71.771100000000004</v>
      </c>
    </row>
    <row r="66" spans="1:5" ht="16.2" thickTop="1" x14ac:dyDescent="0.3">
      <c r="A66" s="64" t="s">
        <v>7</v>
      </c>
      <c r="B66" s="65" t="s">
        <v>8</v>
      </c>
      <c r="C66" s="65" t="s">
        <v>70</v>
      </c>
      <c r="D66" s="66">
        <f>D62*(1/D46)*((D38*D53)/(((2.6*((D54/12)^0.8)*((D55/3)^0.4))/((D56/0.2)^0.3))*((365-D57)/365)*281.9*D60))</f>
        <v>4855857.3341160761</v>
      </c>
    </row>
    <row r="67" spans="1:5" x14ac:dyDescent="0.3">
      <c r="A67" s="26"/>
      <c r="B67" s="8"/>
      <c r="C67" s="8"/>
      <c r="D67" s="12"/>
    </row>
    <row r="68" spans="1:5" ht="15.6" x14ac:dyDescent="0.3">
      <c r="A68" s="78" t="s">
        <v>187</v>
      </c>
      <c r="B68" s="79" t="s">
        <v>188</v>
      </c>
      <c r="C68" s="79" t="s">
        <v>70</v>
      </c>
      <c r="D68" s="80">
        <f>1/((1/D66)+(1/D48))</f>
        <v>4811889.2030615425</v>
      </c>
    </row>
    <row r="69" spans="1:5" ht="15.6" x14ac:dyDescent="0.3">
      <c r="A69" s="81" t="s">
        <v>185</v>
      </c>
      <c r="B69" s="82" t="s">
        <v>85</v>
      </c>
      <c r="C69" s="82" t="s">
        <v>186</v>
      </c>
      <c r="D69" s="83">
        <f>1/D68</f>
        <v>2.0781858388671015E-7</v>
      </c>
      <c r="E69" s="86"/>
    </row>
    <row r="70" spans="1:5" x14ac:dyDescent="0.3">
      <c r="A70" s="31" t="s">
        <v>183</v>
      </c>
      <c r="B70" s="8"/>
      <c r="C70" s="8"/>
      <c r="D70" s="7"/>
    </row>
    <row r="71" spans="1:5" x14ac:dyDescent="0.3">
      <c r="A71" s="32" t="s">
        <v>87</v>
      </c>
      <c r="B71" s="8"/>
      <c r="C71" s="8"/>
      <c r="D71" s="7"/>
    </row>
    <row r="72" spans="1:5" ht="16.2" x14ac:dyDescent="0.35">
      <c r="A72" s="32" t="s">
        <v>179</v>
      </c>
      <c r="B72" s="8"/>
      <c r="C72" s="8"/>
      <c r="D72" s="7"/>
    </row>
    <row r="73" spans="1:5" ht="15" x14ac:dyDescent="0.3">
      <c r="A73" s="31" t="s">
        <v>184</v>
      </c>
      <c r="B73" s="33"/>
      <c r="C73" s="34"/>
      <c r="D73" s="45"/>
    </row>
    <row r="74" spans="1:5" x14ac:dyDescent="0.3">
      <c r="A74" s="247" t="s">
        <v>430</v>
      </c>
      <c r="B74" s="35"/>
      <c r="C74" s="36"/>
      <c r="D74" s="46"/>
    </row>
    <row r="75" spans="1:5" x14ac:dyDescent="0.3">
      <c r="A75" s="248" t="s">
        <v>40</v>
      </c>
      <c r="B75" s="35"/>
      <c r="C75" s="36"/>
      <c r="D75" s="46"/>
    </row>
    <row r="76" spans="1:5" ht="15" x14ac:dyDescent="0.3">
      <c r="A76" s="248" t="s">
        <v>86</v>
      </c>
      <c r="B76" s="33"/>
      <c r="C76" s="34"/>
      <c r="D76" s="45"/>
    </row>
    <row r="77" spans="1:5" ht="16.2" x14ac:dyDescent="0.35">
      <c r="A77" s="248" t="s">
        <v>269</v>
      </c>
      <c r="B77" s="8"/>
      <c r="C77" s="8"/>
      <c r="D77" s="7"/>
    </row>
    <row r="78" spans="1:5" x14ac:dyDescent="0.3">
      <c r="A78" s="249" t="s">
        <v>433</v>
      </c>
      <c r="B78" s="8"/>
      <c r="C78" s="8"/>
      <c r="D78" s="7"/>
    </row>
    <row r="79" spans="1:5" x14ac:dyDescent="0.3">
      <c r="A79" s="249" t="s">
        <v>39</v>
      </c>
      <c r="B79" s="8"/>
      <c r="C79" s="8"/>
      <c r="D79" s="7"/>
    </row>
    <row r="80" spans="1:5" x14ac:dyDescent="0.3">
      <c r="A80" s="31" t="s">
        <v>182</v>
      </c>
      <c r="B80" s="8"/>
      <c r="C80" s="8"/>
      <c r="D80" s="7"/>
    </row>
    <row r="81" spans="1:4" ht="16.2" x14ac:dyDescent="0.35">
      <c r="A81" s="31" t="s">
        <v>193</v>
      </c>
      <c r="B81" s="8"/>
      <c r="C81" s="8"/>
      <c r="D81" s="7"/>
    </row>
    <row r="82" spans="1:4" ht="16.2" x14ac:dyDescent="0.35">
      <c r="A82" s="31" t="s">
        <v>194</v>
      </c>
      <c r="B82" s="8"/>
      <c r="C82" s="8"/>
      <c r="D82" s="7"/>
    </row>
    <row r="83" spans="1:4" ht="16.2" x14ac:dyDescent="0.35">
      <c r="A83" s="31" t="s">
        <v>195</v>
      </c>
      <c r="B83" s="8"/>
      <c r="C83" s="8"/>
      <c r="D83" s="7"/>
    </row>
    <row r="84" spans="1:4" ht="16.2" x14ac:dyDescent="0.35">
      <c r="A84" s="31" t="s">
        <v>196</v>
      </c>
      <c r="B84" s="8"/>
      <c r="C84" s="8"/>
      <c r="D84" s="7"/>
    </row>
    <row r="85" spans="1:4" ht="15" x14ac:dyDescent="0.35">
      <c r="A85" s="31" t="s">
        <v>132</v>
      </c>
      <c r="B85" s="8"/>
      <c r="C85" s="8"/>
      <c r="D85" s="7"/>
    </row>
    <row r="86" spans="1:4" ht="16.2" x14ac:dyDescent="0.35">
      <c r="A86" s="31" t="s">
        <v>197</v>
      </c>
      <c r="B86" s="8"/>
      <c r="C86" s="8"/>
      <c r="D86" s="47"/>
    </row>
    <row r="87" spans="1:4" ht="16.2" x14ac:dyDescent="0.35">
      <c r="A87" s="31" t="s">
        <v>221</v>
      </c>
      <c r="B87" s="8"/>
      <c r="C87" s="8"/>
      <c r="D87" s="7"/>
    </row>
    <row r="88" spans="1:4" ht="15" x14ac:dyDescent="0.35">
      <c r="A88" s="31" t="s">
        <v>292</v>
      </c>
      <c r="B88" s="8"/>
      <c r="C88" s="8"/>
      <c r="D88" s="7"/>
    </row>
    <row r="89" spans="1:4" x14ac:dyDescent="0.3">
      <c r="A89" s="31" t="s">
        <v>226</v>
      </c>
      <c r="B89" s="8"/>
      <c r="C89" s="8"/>
      <c r="D89" s="7"/>
    </row>
    <row r="90" spans="1:4" ht="15" x14ac:dyDescent="0.35">
      <c r="A90" s="31" t="s">
        <v>317</v>
      </c>
      <c r="B90" s="8"/>
      <c r="C90" s="8"/>
      <c r="D90" s="7"/>
    </row>
    <row r="91" spans="1:4" x14ac:dyDescent="0.3">
      <c r="A91" s="37" t="s">
        <v>180</v>
      </c>
      <c r="B91" s="8"/>
      <c r="C91" s="8"/>
      <c r="D91" s="7"/>
    </row>
    <row r="92" spans="1:4" ht="15" x14ac:dyDescent="0.35">
      <c r="A92" s="31" t="s">
        <v>227</v>
      </c>
      <c r="B92" s="8"/>
      <c r="C92" s="8"/>
      <c r="D92" s="7"/>
    </row>
    <row r="93" spans="1:4" ht="16.2" x14ac:dyDescent="0.35">
      <c r="A93" s="31" t="s">
        <v>228</v>
      </c>
      <c r="B93" s="8"/>
      <c r="C93" s="8"/>
      <c r="D93" s="7"/>
    </row>
    <row r="94" spans="1:4" ht="15" x14ac:dyDescent="0.35">
      <c r="A94" s="31" t="s">
        <v>229</v>
      </c>
      <c r="B94" s="8"/>
      <c r="C94" s="8"/>
      <c r="D94" s="7"/>
    </row>
    <row r="95" spans="1:4" ht="16.8" x14ac:dyDescent="0.35">
      <c r="A95" s="38" t="s">
        <v>99</v>
      </c>
      <c r="B95" s="39"/>
      <c r="C95" s="39"/>
      <c r="D95" s="48"/>
    </row>
    <row r="96" spans="1:4" ht="16.8" x14ac:dyDescent="0.35">
      <c r="A96" s="31" t="s">
        <v>100</v>
      </c>
      <c r="B96" s="39"/>
      <c r="C96" s="39"/>
      <c r="D96" s="48"/>
    </row>
    <row r="97" spans="1:4" ht="15" x14ac:dyDescent="0.35">
      <c r="A97" s="31" t="s">
        <v>282</v>
      </c>
      <c r="B97" s="8"/>
      <c r="C97" s="8"/>
      <c r="D97" s="7"/>
    </row>
  </sheetData>
  <mergeCells count="1">
    <mergeCell ref="A1:F1"/>
  </mergeCells>
  <phoneticPr fontId="57"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7"/>
  <sheetViews>
    <sheetView zoomScaleNormal="100" workbookViewId="0">
      <selection activeCell="E18" sqref="E18"/>
    </sheetView>
  </sheetViews>
  <sheetFormatPr defaultColWidth="11.44140625" defaultRowHeight="14.4" x14ac:dyDescent="0.3"/>
  <cols>
    <col min="1" max="1" width="72.6640625" customWidth="1"/>
    <col min="2" max="2" width="8.44140625" bestFit="1" customWidth="1"/>
    <col min="3" max="3" width="16.33203125" bestFit="1" customWidth="1"/>
    <col min="4" max="4" width="9.33203125" style="49" customWidth="1"/>
    <col min="5" max="5" width="46.109375" style="49" bestFit="1" customWidth="1"/>
    <col min="6" max="6" width="7" style="49" bestFit="1" customWidth="1"/>
    <col min="7" max="7" width="8.44140625" bestFit="1" customWidth="1"/>
    <col min="8" max="8" width="15" bestFit="1" customWidth="1"/>
  </cols>
  <sheetData>
    <row r="1" spans="1:8" ht="18" x14ac:dyDescent="0.35">
      <c r="A1" s="244" t="s">
        <v>190</v>
      </c>
      <c r="B1" s="244"/>
      <c r="C1" s="244"/>
      <c r="D1" s="244"/>
      <c r="E1" s="244"/>
      <c r="F1" s="244"/>
      <c r="G1" s="244"/>
    </row>
    <row r="2" spans="1:8" x14ac:dyDescent="0.3">
      <c r="A2" s="84" t="s">
        <v>25</v>
      </c>
      <c r="B2" s="22" t="s">
        <v>28</v>
      </c>
      <c r="C2" s="22" t="s">
        <v>24</v>
      </c>
      <c r="D2" s="72" t="s">
        <v>26</v>
      </c>
      <c r="E2" s="72"/>
      <c r="F2" s="72"/>
      <c r="G2" s="73"/>
    </row>
    <row r="3" spans="1:8" x14ac:dyDescent="0.3">
      <c r="A3" s="70" t="s">
        <v>29</v>
      </c>
      <c r="B3" s="71"/>
      <c r="C3" s="71"/>
      <c r="D3" s="69"/>
      <c r="E3" s="69"/>
      <c r="F3" s="69"/>
      <c r="G3" s="74"/>
    </row>
    <row r="4" spans="1:8" ht="16.2" x14ac:dyDescent="0.3">
      <c r="A4" s="6" t="s">
        <v>30</v>
      </c>
      <c r="B4" s="53" t="s">
        <v>113</v>
      </c>
      <c r="C4" s="55" t="s">
        <v>32</v>
      </c>
      <c r="D4" s="135">
        <f>(0.036*(1-D5)*((D6/D7)^3)*D8*D9*D10*8760)</f>
        <v>184012.17341619325</v>
      </c>
      <c r="E4" s="6" t="s">
        <v>252</v>
      </c>
      <c r="F4" s="56" t="s">
        <v>114</v>
      </c>
      <c r="G4" s="60">
        <f>(0.036*(1-G5)*((D6/D7)^3)*D8*D9*(G10-1)*8760)</f>
        <v>2208146.0809943192</v>
      </c>
    </row>
    <row r="5" spans="1:8" ht="16.8" x14ac:dyDescent="0.35">
      <c r="A5" s="9" t="s">
        <v>198</v>
      </c>
      <c r="B5" s="7" t="s">
        <v>199</v>
      </c>
      <c r="C5" s="10" t="s">
        <v>200</v>
      </c>
      <c r="D5" s="42">
        <v>0</v>
      </c>
      <c r="E5" s="42"/>
      <c r="F5" s="42" t="s">
        <v>102</v>
      </c>
      <c r="G5">
        <v>0.5</v>
      </c>
      <c r="H5" s="120" t="s">
        <v>251</v>
      </c>
    </row>
    <row r="6" spans="1:8" ht="16.8" x14ac:dyDescent="0.35">
      <c r="A6" s="9" t="s">
        <v>201</v>
      </c>
      <c r="B6" s="11" t="s">
        <v>202</v>
      </c>
      <c r="C6" s="11" t="s">
        <v>203</v>
      </c>
      <c r="D6" s="246">
        <v>3.3</v>
      </c>
      <c r="E6" s="12"/>
      <c r="F6" s="12"/>
    </row>
    <row r="7" spans="1:8" ht="16.8" x14ac:dyDescent="0.35">
      <c r="A7" s="9" t="s">
        <v>204</v>
      </c>
      <c r="B7" s="7" t="s">
        <v>205</v>
      </c>
      <c r="C7" s="8" t="s">
        <v>203</v>
      </c>
      <c r="D7" s="42">
        <v>11.32</v>
      </c>
      <c r="E7" s="42"/>
      <c r="F7" s="42"/>
    </row>
    <row r="8" spans="1:8" ht="16.8" x14ac:dyDescent="0.35">
      <c r="A8" s="9" t="s">
        <v>206</v>
      </c>
      <c r="B8" s="7" t="s">
        <v>207</v>
      </c>
      <c r="C8" s="10" t="s">
        <v>200</v>
      </c>
      <c r="D8" s="42">
        <v>0.19400000000000001</v>
      </c>
      <c r="E8" s="42"/>
      <c r="F8" s="42"/>
    </row>
    <row r="9" spans="1:8" ht="16.8" x14ac:dyDescent="0.35">
      <c r="A9" s="13" t="s">
        <v>208</v>
      </c>
      <c r="B9" s="14" t="s">
        <v>209</v>
      </c>
      <c r="C9" s="14" t="s">
        <v>210</v>
      </c>
      <c r="D9" s="7">
        <f>D51*4046.825</f>
        <v>121404.75</v>
      </c>
      <c r="E9" s="7"/>
      <c r="F9" s="7"/>
    </row>
    <row r="10" spans="1:8" ht="16.8" x14ac:dyDescent="0.35">
      <c r="A10" s="75" t="s">
        <v>434</v>
      </c>
      <c r="B10" s="43" t="s">
        <v>212</v>
      </c>
      <c r="C10" s="30" t="s">
        <v>213</v>
      </c>
      <c r="D10" s="172">
        <f>Risk_Calculations!C42</f>
        <v>1</v>
      </c>
      <c r="E10" s="76"/>
      <c r="F10" s="76" t="s">
        <v>101</v>
      </c>
      <c r="G10" s="194">
        <f>Risk_Calculations!D42-$D$10</f>
        <v>25</v>
      </c>
      <c r="H10" s="166" t="s">
        <v>67</v>
      </c>
    </row>
    <row r="11" spans="1:8" x14ac:dyDescent="0.3">
      <c r="A11" s="9"/>
      <c r="B11" s="7"/>
      <c r="C11" s="8"/>
      <c r="D11" s="42"/>
      <c r="E11" s="42"/>
      <c r="F11" s="42"/>
    </row>
    <row r="12" spans="1:8" ht="16.2" x14ac:dyDescent="0.3">
      <c r="A12" s="6" t="s">
        <v>303</v>
      </c>
      <c r="B12" s="53" t="s">
        <v>112</v>
      </c>
      <c r="C12" s="52" t="s">
        <v>32</v>
      </c>
      <c r="D12" s="136">
        <f>0.35*0.0016*(((D6/2.2)^1.3)/((D14/2)^1.4))*D13*D15*D16*D17*1000</f>
        <v>6299.4098513617682</v>
      </c>
      <c r="E12" s="138"/>
      <c r="F12" s="7"/>
    </row>
    <row r="13" spans="1:8" ht="16.8" x14ac:dyDescent="0.35">
      <c r="A13" s="15" t="s">
        <v>304</v>
      </c>
      <c r="B13" s="16" t="s">
        <v>134</v>
      </c>
      <c r="C13" s="14" t="s">
        <v>135</v>
      </c>
      <c r="D13" s="198">
        <v>1.68</v>
      </c>
      <c r="E13" s="7"/>
      <c r="F13" s="7"/>
    </row>
    <row r="14" spans="1:8" ht="16.2" x14ac:dyDescent="0.3">
      <c r="A14" s="15" t="s">
        <v>241</v>
      </c>
      <c r="B14" s="14" t="s">
        <v>136</v>
      </c>
      <c r="C14" s="14" t="s">
        <v>41</v>
      </c>
      <c r="D14" s="199">
        <v>12</v>
      </c>
      <c r="E14" s="7"/>
      <c r="F14" s="7"/>
    </row>
    <row r="15" spans="1:8" ht="18" x14ac:dyDescent="0.35">
      <c r="A15" s="13" t="s">
        <v>42</v>
      </c>
      <c r="B15" s="14" t="s">
        <v>43</v>
      </c>
      <c r="C15" s="14" t="s">
        <v>210</v>
      </c>
      <c r="D15" s="7">
        <f>D9/5</f>
        <v>24280.95</v>
      </c>
      <c r="E15" s="7"/>
      <c r="F15" s="7"/>
    </row>
    <row r="16" spans="1:8" ht="15.6" x14ac:dyDescent="0.35">
      <c r="A16" s="13" t="s">
        <v>239</v>
      </c>
      <c r="B16" s="14" t="s">
        <v>44</v>
      </c>
      <c r="C16" s="14" t="s">
        <v>45</v>
      </c>
      <c r="D16" s="7">
        <v>1</v>
      </c>
      <c r="E16" s="7"/>
      <c r="F16" s="7"/>
    </row>
    <row r="17" spans="1:6" ht="18" x14ac:dyDescent="0.35">
      <c r="A17" s="28" t="s">
        <v>46</v>
      </c>
      <c r="B17" s="20" t="s">
        <v>47</v>
      </c>
      <c r="C17" s="21" t="s">
        <v>200</v>
      </c>
      <c r="D17" s="43">
        <v>2</v>
      </c>
      <c r="E17" s="7"/>
      <c r="F17" s="7"/>
    </row>
    <row r="18" spans="1:6" x14ac:dyDescent="0.3">
      <c r="A18" s="15"/>
      <c r="B18" s="14"/>
      <c r="C18" s="14"/>
      <c r="D18" s="137"/>
      <c r="E18" s="7"/>
      <c r="F18" s="7"/>
    </row>
    <row r="19" spans="1:6" ht="16.2" x14ac:dyDescent="0.3">
      <c r="A19" s="18" t="s">
        <v>48</v>
      </c>
      <c r="B19" s="53" t="s">
        <v>111</v>
      </c>
      <c r="C19" s="52" t="s">
        <v>32</v>
      </c>
      <c r="D19" s="136">
        <f>0.75*(0.45*(D20^1.5)/(D21^1.4))*(D23/D22)*1000</f>
        <v>2470.3354168302544</v>
      </c>
      <c r="E19" s="57"/>
      <c r="F19" s="7"/>
    </row>
    <row r="20" spans="1:6" ht="16.2" x14ac:dyDescent="0.3">
      <c r="A20" s="9" t="s">
        <v>240</v>
      </c>
      <c r="B20" s="19" t="s">
        <v>50</v>
      </c>
      <c r="C20" s="14" t="s">
        <v>41</v>
      </c>
      <c r="D20" s="199">
        <v>6.9</v>
      </c>
      <c r="E20" s="7"/>
      <c r="F20" s="7"/>
    </row>
    <row r="21" spans="1:6" ht="16.2" x14ac:dyDescent="0.3">
      <c r="A21" s="15" t="s">
        <v>241</v>
      </c>
      <c r="B21" s="14" t="s">
        <v>136</v>
      </c>
      <c r="C21" s="14" t="s">
        <v>41</v>
      </c>
      <c r="D21" s="199">
        <f>D14</f>
        <v>12</v>
      </c>
      <c r="E21" s="7"/>
      <c r="F21" s="7"/>
    </row>
    <row r="22" spans="1:6" ht="16.8" x14ac:dyDescent="0.35">
      <c r="A22" s="15" t="s">
        <v>242</v>
      </c>
      <c r="B22" s="14" t="s">
        <v>51</v>
      </c>
      <c r="C22" s="14" t="s">
        <v>52</v>
      </c>
      <c r="D22" s="7">
        <v>11.4</v>
      </c>
      <c r="E22" s="7"/>
      <c r="F22" s="7"/>
    </row>
    <row r="23" spans="1:6" ht="16.8" x14ac:dyDescent="0.35">
      <c r="A23" s="77" t="s">
        <v>53</v>
      </c>
      <c r="B23" s="20" t="s">
        <v>54</v>
      </c>
      <c r="C23" s="20" t="s">
        <v>55</v>
      </c>
      <c r="D23" s="43">
        <f>(SQRT(D9)/2.44)*SQRT(D9)*3/1000</f>
        <v>149.26813524590165</v>
      </c>
      <c r="E23" s="7"/>
      <c r="F23" s="7"/>
    </row>
    <row r="24" spans="1:6" x14ac:dyDescent="0.3">
      <c r="A24" s="15"/>
      <c r="B24" s="14"/>
      <c r="C24" s="14"/>
      <c r="D24" s="7"/>
      <c r="E24" s="7"/>
      <c r="F24" s="7"/>
    </row>
    <row r="25" spans="1:6" ht="16.2" x14ac:dyDescent="0.3">
      <c r="A25" s="18" t="s">
        <v>56</v>
      </c>
      <c r="B25" s="53" t="s">
        <v>110</v>
      </c>
      <c r="C25" s="52" t="s">
        <v>32</v>
      </c>
      <c r="D25" s="136">
        <f>0.6*0.0056*(D26^2)*D27*1000</f>
        <v>65180.259838032784</v>
      </c>
      <c r="E25" s="57"/>
      <c r="F25" s="7"/>
    </row>
    <row r="26" spans="1:6" ht="16.8" x14ac:dyDescent="0.35">
      <c r="A26" s="15" t="s">
        <v>243</v>
      </c>
      <c r="B26" s="14" t="s">
        <v>58</v>
      </c>
      <c r="C26" s="14" t="s">
        <v>52</v>
      </c>
      <c r="D26" s="7">
        <v>11.4</v>
      </c>
      <c r="E26" s="7"/>
      <c r="F26" s="7"/>
    </row>
    <row r="27" spans="1:6" ht="16.8" x14ac:dyDescent="0.35">
      <c r="A27" s="77" t="s">
        <v>244</v>
      </c>
      <c r="B27" s="20" t="s">
        <v>59</v>
      </c>
      <c r="C27" s="20" t="s">
        <v>55</v>
      </c>
      <c r="D27" s="43">
        <f>(SQRT(D9)/2.44)*SQRT(D9)*3/1000</f>
        <v>149.26813524590165</v>
      </c>
      <c r="E27" s="7"/>
      <c r="F27" s="7"/>
    </row>
    <row r="28" spans="1:6" x14ac:dyDescent="0.3">
      <c r="A28" s="15"/>
      <c r="B28" s="14"/>
      <c r="C28" s="14"/>
      <c r="D28" s="7"/>
      <c r="E28" s="7"/>
      <c r="F28" s="7"/>
    </row>
    <row r="29" spans="1:6" ht="16.2" x14ac:dyDescent="0.3">
      <c r="A29" s="18" t="s">
        <v>60</v>
      </c>
      <c r="B29" s="53" t="s">
        <v>109</v>
      </c>
      <c r="C29" s="52" t="s">
        <v>32</v>
      </c>
      <c r="D29" s="136">
        <f>1.1*(D30^0.6)*D31*4047*0.0001*1000*D32</f>
        <v>17022.235320549207</v>
      </c>
      <c r="E29" s="57"/>
      <c r="F29" s="7"/>
    </row>
    <row r="30" spans="1:6" ht="16.2" x14ac:dyDescent="0.3">
      <c r="A30" s="9" t="s">
        <v>240</v>
      </c>
      <c r="B30" s="19" t="s">
        <v>50</v>
      </c>
      <c r="C30" s="14" t="s">
        <v>41</v>
      </c>
      <c r="D30" s="199">
        <f>D20</f>
        <v>6.9</v>
      </c>
      <c r="E30" s="7"/>
      <c r="F30" s="7"/>
    </row>
    <row r="31" spans="1:6" ht="15.6" x14ac:dyDescent="0.35">
      <c r="A31" s="13" t="s">
        <v>62</v>
      </c>
      <c r="B31" s="14" t="s">
        <v>63</v>
      </c>
      <c r="C31" s="14" t="s">
        <v>64</v>
      </c>
      <c r="D31" s="7">
        <f>D51/5</f>
        <v>6</v>
      </c>
      <c r="E31" s="7"/>
      <c r="F31" s="7"/>
    </row>
    <row r="32" spans="1:6" ht="15.6" x14ac:dyDescent="0.35">
      <c r="A32" s="13" t="s">
        <v>163</v>
      </c>
      <c r="B32" s="14" t="s">
        <v>47</v>
      </c>
      <c r="C32" s="17" t="s">
        <v>200</v>
      </c>
      <c r="D32" s="7">
        <v>2</v>
      </c>
      <c r="E32" s="7"/>
      <c r="F32" s="7"/>
    </row>
    <row r="33" spans="1:6" x14ac:dyDescent="0.3">
      <c r="F33" s="7"/>
    </row>
    <row r="34" spans="1:6" x14ac:dyDescent="0.3">
      <c r="A34" s="67" t="s">
        <v>71</v>
      </c>
      <c r="B34" s="68"/>
      <c r="C34" s="68"/>
      <c r="D34" s="69"/>
      <c r="E34" s="41"/>
      <c r="F34" s="7"/>
    </row>
    <row r="35" spans="1:6" ht="15.6" x14ac:dyDescent="0.3">
      <c r="A35" s="27" t="s">
        <v>327</v>
      </c>
      <c r="B35" s="54" t="s">
        <v>108</v>
      </c>
      <c r="C35" s="54" t="s">
        <v>32</v>
      </c>
      <c r="D35" s="59">
        <f>((2.6*((D38/12)^0.8)*((D39/3)^0.4))/((D40/0.2)^0.3))*((365-D41)/365)*281.9*D43</f>
        <v>1036220.8888004003</v>
      </c>
      <c r="E35" s="140"/>
      <c r="F35" s="12"/>
    </row>
    <row r="36" spans="1:6" ht="15.6" x14ac:dyDescent="0.3">
      <c r="A36" s="23" t="s">
        <v>260</v>
      </c>
      <c r="B36" s="24" t="s">
        <v>73</v>
      </c>
      <c r="C36" s="8" t="s">
        <v>45</v>
      </c>
      <c r="D36" s="12">
        <f>SQRT(D9)</f>
        <v>348.43184412450017</v>
      </c>
      <c r="E36" s="12"/>
      <c r="F36" s="12"/>
    </row>
    <row r="37" spans="1:6" ht="15.6" x14ac:dyDescent="0.3">
      <c r="A37" s="23" t="s">
        <v>74</v>
      </c>
      <c r="B37" s="24" t="s">
        <v>75</v>
      </c>
      <c r="C37" s="8" t="s">
        <v>45</v>
      </c>
      <c r="D37" s="12">
        <f>20*0.3048</f>
        <v>6.0960000000000001</v>
      </c>
      <c r="E37" s="12"/>
      <c r="F37" s="12"/>
    </row>
    <row r="38" spans="1:6" ht="15.6" x14ac:dyDescent="0.3">
      <c r="A38" s="13" t="s">
        <v>318</v>
      </c>
      <c r="B38" s="25" t="s">
        <v>50</v>
      </c>
      <c r="C38" s="24" t="s">
        <v>41</v>
      </c>
      <c r="D38" s="198">
        <v>8.5</v>
      </c>
      <c r="E38" s="12"/>
      <c r="F38" s="12"/>
    </row>
    <row r="39" spans="1:6" ht="15.6" x14ac:dyDescent="0.3">
      <c r="A39" s="26" t="s">
        <v>77</v>
      </c>
      <c r="B39" s="8" t="s">
        <v>78</v>
      </c>
      <c r="C39" s="8" t="s">
        <v>79</v>
      </c>
      <c r="D39" s="12">
        <v>8</v>
      </c>
      <c r="E39" s="12"/>
      <c r="F39" s="12"/>
    </row>
    <row r="40" spans="1:6" ht="15.6" x14ac:dyDescent="0.3">
      <c r="A40" s="23" t="s">
        <v>319</v>
      </c>
      <c r="B40" s="24" t="s">
        <v>247</v>
      </c>
      <c r="C40" s="24" t="s">
        <v>41</v>
      </c>
      <c r="D40" s="198">
        <v>0.2</v>
      </c>
      <c r="E40" s="12"/>
      <c r="F40" s="12"/>
    </row>
    <row r="41" spans="1:6" ht="15.6" x14ac:dyDescent="0.3">
      <c r="A41" s="26" t="s">
        <v>248</v>
      </c>
      <c r="B41" s="24" t="s">
        <v>81</v>
      </c>
      <c r="C41" s="8" t="s">
        <v>82</v>
      </c>
      <c r="D41" s="198">
        <v>27</v>
      </c>
      <c r="E41" s="12"/>
      <c r="F41" s="12"/>
    </row>
    <row r="42" spans="1:6" ht="15.6" x14ac:dyDescent="0.3">
      <c r="A42" s="26" t="s">
        <v>307</v>
      </c>
      <c r="B42" s="24" t="s">
        <v>308</v>
      </c>
      <c r="C42" s="8" t="s">
        <v>309</v>
      </c>
      <c r="D42" s="12">
        <v>30</v>
      </c>
      <c r="E42" s="12"/>
      <c r="F42" s="12"/>
    </row>
    <row r="43" spans="1:6" ht="15.6" x14ac:dyDescent="0.3">
      <c r="A43" s="141" t="s">
        <v>259</v>
      </c>
      <c r="B43" s="29" t="s">
        <v>4</v>
      </c>
      <c r="C43" s="29" t="s">
        <v>55</v>
      </c>
      <c r="D43" s="44">
        <f>D42*(D36)*((52/2)*5)/1000</f>
        <v>1358.8841920855507</v>
      </c>
      <c r="E43" s="12"/>
      <c r="F43" s="12"/>
    </row>
    <row r="44" spans="1:6" x14ac:dyDescent="0.3">
      <c r="A44" s="15"/>
      <c r="B44" s="11"/>
      <c r="C44" s="11"/>
      <c r="D44" s="7"/>
      <c r="E44" s="7"/>
      <c r="F44" s="7"/>
    </row>
    <row r="45" spans="1:6" ht="16.2" x14ac:dyDescent="0.3">
      <c r="A45" s="6" t="s">
        <v>250</v>
      </c>
      <c r="B45" s="53" t="s">
        <v>216</v>
      </c>
      <c r="C45" s="53" t="s">
        <v>165</v>
      </c>
      <c r="D45" s="57">
        <f>SUM(D35,D4,D12,D19,D25,D29,G4)/(G10*D9*31563000)</f>
        <v>3.6737421189416544E-8</v>
      </c>
      <c r="E45" s="57"/>
      <c r="F45" s="7"/>
    </row>
    <row r="46" spans="1:6" x14ac:dyDescent="0.3">
      <c r="A46" s="15"/>
      <c r="B46" s="11"/>
      <c r="C46" s="11"/>
      <c r="D46" s="7"/>
      <c r="E46" s="7"/>
      <c r="F46" s="7"/>
    </row>
    <row r="47" spans="1:6" ht="16.2" x14ac:dyDescent="0.3">
      <c r="A47" s="18" t="s">
        <v>103</v>
      </c>
      <c r="B47" s="52" t="s">
        <v>215</v>
      </c>
      <c r="C47" s="52" t="s">
        <v>106</v>
      </c>
      <c r="D47" s="53">
        <f>D48*(EXP(((LN(D51)-D49)^2/D50)))</f>
        <v>55.136319341242817</v>
      </c>
      <c r="E47" s="53"/>
      <c r="F47" s="7"/>
    </row>
    <row r="48" spans="1:6" ht="15.6" x14ac:dyDescent="0.3">
      <c r="A48" s="13" t="s">
        <v>170</v>
      </c>
      <c r="B48" s="14" t="s">
        <v>21</v>
      </c>
      <c r="C48" s="17" t="s">
        <v>200</v>
      </c>
      <c r="D48" s="7">
        <v>12.1784</v>
      </c>
      <c r="E48" s="111" t="s">
        <v>274</v>
      </c>
      <c r="F48" s="7"/>
    </row>
    <row r="49" spans="1:6" ht="15.6" x14ac:dyDescent="0.3">
      <c r="A49" s="13" t="s">
        <v>171</v>
      </c>
      <c r="B49" s="14" t="s">
        <v>22</v>
      </c>
      <c r="C49" s="17" t="s">
        <v>200</v>
      </c>
      <c r="D49" s="7">
        <v>24.560600000000001</v>
      </c>
      <c r="E49" s="111" t="s">
        <v>274</v>
      </c>
      <c r="F49" s="12"/>
    </row>
    <row r="50" spans="1:6" ht="15.6" x14ac:dyDescent="0.3">
      <c r="A50" s="13" t="s">
        <v>172</v>
      </c>
      <c r="B50" s="14" t="s">
        <v>23</v>
      </c>
      <c r="C50" s="17" t="s">
        <v>200</v>
      </c>
      <c r="D50" s="7">
        <v>296.4751</v>
      </c>
      <c r="E50" s="111" t="s">
        <v>274</v>
      </c>
      <c r="F50" s="12"/>
    </row>
    <row r="51" spans="1:6" ht="15.6" x14ac:dyDescent="0.35">
      <c r="A51" s="13" t="s">
        <v>208</v>
      </c>
      <c r="B51" s="14" t="s">
        <v>209</v>
      </c>
      <c r="C51" s="14" t="s">
        <v>173</v>
      </c>
      <c r="D51" s="7">
        <f>Risk_Calculations!D37</f>
        <v>30</v>
      </c>
      <c r="E51" s="201" t="s">
        <v>14</v>
      </c>
      <c r="F51" s="12"/>
    </row>
    <row r="52" spans="1:6" x14ac:dyDescent="0.3">
      <c r="A52" s="18"/>
      <c r="B52" s="14"/>
      <c r="C52" s="14"/>
      <c r="D52" s="7"/>
      <c r="E52" s="7"/>
      <c r="F52" s="12"/>
    </row>
    <row r="53" spans="1:6" ht="15.6" x14ac:dyDescent="0.3">
      <c r="A53" s="78" t="s">
        <v>329</v>
      </c>
      <c r="B53" s="79" t="s">
        <v>115</v>
      </c>
      <c r="C53" s="79" t="s">
        <v>70</v>
      </c>
      <c r="D53" s="80">
        <f>D47*(1/D45)</f>
        <v>1500821711.3814917</v>
      </c>
      <c r="E53" s="59"/>
      <c r="F53" s="7"/>
    </row>
    <row r="54" spans="1:6" ht="15.6" x14ac:dyDescent="0.3">
      <c r="A54" s="81" t="s">
        <v>330</v>
      </c>
      <c r="B54" s="108" t="s">
        <v>83</v>
      </c>
      <c r="C54" s="82" t="s">
        <v>186</v>
      </c>
      <c r="D54" s="83">
        <f>1/D53</f>
        <v>6.6630166156079243E-10</v>
      </c>
      <c r="E54" s="59"/>
      <c r="F54" s="45"/>
    </row>
    <row r="55" spans="1:6" x14ac:dyDescent="0.3">
      <c r="A55" s="31" t="s">
        <v>183</v>
      </c>
      <c r="B55" s="8"/>
      <c r="C55" s="8"/>
      <c r="D55" s="7"/>
      <c r="E55" s="7"/>
      <c r="F55" s="46"/>
    </row>
    <row r="56" spans="1:6" x14ac:dyDescent="0.3">
      <c r="A56" s="32" t="s">
        <v>87</v>
      </c>
      <c r="B56" s="8"/>
      <c r="C56" s="8"/>
      <c r="D56" s="7"/>
      <c r="E56" s="7"/>
      <c r="F56" s="46"/>
    </row>
    <row r="57" spans="1:6" ht="16.2" x14ac:dyDescent="0.35">
      <c r="A57" s="32" t="s">
        <v>179</v>
      </c>
      <c r="B57" s="8"/>
      <c r="C57" s="8"/>
      <c r="D57" s="7"/>
      <c r="E57" s="7"/>
      <c r="F57" s="45"/>
    </row>
    <row r="58" spans="1:6" ht="15" x14ac:dyDescent="0.3">
      <c r="A58" s="248" t="s">
        <v>184</v>
      </c>
      <c r="B58" s="33"/>
      <c r="C58" s="34"/>
      <c r="D58" s="45"/>
      <c r="E58" s="45"/>
      <c r="F58" s="7"/>
    </row>
    <row r="59" spans="1:6" x14ac:dyDescent="0.3">
      <c r="A59" s="247" t="s">
        <v>430</v>
      </c>
      <c r="B59" s="35"/>
      <c r="C59" s="36"/>
      <c r="D59" s="46"/>
      <c r="E59" s="46"/>
      <c r="F59" s="7"/>
    </row>
    <row r="60" spans="1:6" x14ac:dyDescent="0.3">
      <c r="A60" s="248" t="s">
        <v>313</v>
      </c>
      <c r="B60" s="35"/>
      <c r="C60" s="36"/>
      <c r="D60" s="46"/>
      <c r="E60" s="46"/>
      <c r="F60" s="7"/>
    </row>
    <row r="61" spans="1:6" ht="15" x14ac:dyDescent="0.3">
      <c r="A61" s="248" t="s">
        <v>435</v>
      </c>
      <c r="B61" s="33"/>
      <c r="C61" s="34"/>
      <c r="D61" s="45"/>
      <c r="E61" s="45"/>
      <c r="F61" s="7"/>
    </row>
    <row r="62" spans="1:6" ht="16.2" x14ac:dyDescent="0.35">
      <c r="A62" s="248" t="s">
        <v>181</v>
      </c>
      <c r="B62" s="8"/>
      <c r="C62" s="8"/>
      <c r="D62" s="7"/>
      <c r="E62" s="7"/>
      <c r="F62" s="7"/>
    </row>
    <row r="63" spans="1:6" x14ac:dyDescent="0.3">
      <c r="A63" s="249" t="s">
        <v>433</v>
      </c>
      <c r="B63" s="8"/>
      <c r="C63" s="8"/>
      <c r="D63" s="7"/>
      <c r="E63" s="7"/>
      <c r="F63" s="7"/>
    </row>
    <row r="64" spans="1:6" x14ac:dyDescent="0.3">
      <c r="A64" s="249" t="s">
        <v>312</v>
      </c>
      <c r="B64" s="8"/>
      <c r="C64" s="8"/>
      <c r="D64" s="7"/>
      <c r="E64" s="7"/>
      <c r="F64" s="7"/>
    </row>
    <row r="65" spans="1:6" x14ac:dyDescent="0.3">
      <c r="A65" s="31" t="s">
        <v>182</v>
      </c>
      <c r="B65" s="8"/>
      <c r="C65" s="8"/>
      <c r="D65" s="7"/>
      <c r="E65" s="7"/>
      <c r="F65" s="7"/>
    </row>
    <row r="66" spans="1:6" ht="16.2" x14ac:dyDescent="0.35">
      <c r="A66" s="31" t="s">
        <v>193</v>
      </c>
      <c r="B66" s="8"/>
      <c r="C66" s="8"/>
      <c r="D66" s="7"/>
      <c r="E66" s="7"/>
      <c r="F66" s="7"/>
    </row>
    <row r="67" spans="1:6" ht="16.2" x14ac:dyDescent="0.35">
      <c r="A67" s="31" t="s">
        <v>194</v>
      </c>
      <c r="B67" s="8"/>
      <c r="C67" s="8"/>
      <c r="D67" s="7"/>
      <c r="E67" s="7"/>
      <c r="F67" s="47"/>
    </row>
    <row r="68" spans="1:6" ht="16.2" x14ac:dyDescent="0.35">
      <c r="A68" s="31" t="s">
        <v>195</v>
      </c>
      <c r="B68" s="8"/>
      <c r="C68" s="8"/>
      <c r="D68" s="7"/>
      <c r="E68" s="7"/>
      <c r="F68" s="7"/>
    </row>
    <row r="69" spans="1:6" ht="16.2" x14ac:dyDescent="0.35">
      <c r="A69" s="31" t="s">
        <v>196</v>
      </c>
      <c r="B69" s="8"/>
      <c r="C69" s="8"/>
      <c r="D69" s="7"/>
      <c r="E69" s="7"/>
      <c r="F69" s="7"/>
    </row>
    <row r="70" spans="1:6" ht="15" x14ac:dyDescent="0.35">
      <c r="A70" s="31" t="s">
        <v>232</v>
      </c>
      <c r="B70" s="8"/>
      <c r="C70" s="8"/>
      <c r="D70" s="7"/>
      <c r="E70" s="7"/>
      <c r="F70" s="7"/>
    </row>
    <row r="71" spans="1:6" ht="16.2" x14ac:dyDescent="0.35">
      <c r="A71" s="31" t="s">
        <v>233</v>
      </c>
      <c r="B71" s="8"/>
      <c r="C71" s="8"/>
      <c r="D71" s="47"/>
      <c r="E71" s="47"/>
      <c r="F71" s="7"/>
    </row>
    <row r="72" spans="1:6" x14ac:dyDescent="0.3">
      <c r="A72" s="31" t="s">
        <v>261</v>
      </c>
      <c r="B72" s="8"/>
      <c r="C72" s="8"/>
      <c r="D72" s="7"/>
      <c r="E72" s="7"/>
      <c r="F72" s="7"/>
    </row>
    <row r="73" spans="1:6" ht="16.2" x14ac:dyDescent="0.3">
      <c r="A73" s="37" t="s">
        <v>432</v>
      </c>
      <c r="B73" s="8"/>
      <c r="C73" s="8"/>
      <c r="D73" s="7"/>
      <c r="E73" s="7"/>
      <c r="F73" s="48"/>
    </row>
    <row r="74" spans="1:6" ht="16.8" x14ac:dyDescent="0.35">
      <c r="A74" s="31" t="s">
        <v>258</v>
      </c>
      <c r="B74" s="8"/>
      <c r="C74" s="8"/>
      <c r="D74" s="7"/>
      <c r="E74" s="7"/>
      <c r="F74" s="48"/>
    </row>
    <row r="75" spans="1:6" ht="16.8" x14ac:dyDescent="0.35">
      <c r="A75" s="38" t="s">
        <v>326</v>
      </c>
      <c r="B75" s="39"/>
      <c r="C75" s="39"/>
      <c r="D75" s="48"/>
      <c r="E75" s="48"/>
    </row>
    <row r="76" spans="1:6" ht="16.8" x14ac:dyDescent="0.35">
      <c r="A76" s="31" t="s">
        <v>328</v>
      </c>
      <c r="B76" s="39"/>
      <c r="C76" s="39"/>
      <c r="D76" s="48"/>
      <c r="E76" s="48"/>
    </row>
    <row r="77" spans="1:6" ht="15" x14ac:dyDescent="0.35">
      <c r="A77" s="31" t="s">
        <v>278</v>
      </c>
      <c r="B77" s="8"/>
      <c r="C77" s="8"/>
      <c r="D77" s="7"/>
      <c r="E77" s="7"/>
      <c r="F77"/>
    </row>
  </sheetData>
  <mergeCells count="1">
    <mergeCell ref="A1:G1"/>
  </mergeCells>
  <phoneticPr fontId="57"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4"/>
  <sheetViews>
    <sheetView zoomScaleNormal="100" workbookViewId="0">
      <selection activeCell="A29" sqref="A29"/>
    </sheetView>
  </sheetViews>
  <sheetFormatPr defaultColWidth="11.44140625" defaultRowHeight="14.4" x14ac:dyDescent="0.3"/>
  <cols>
    <col min="1" max="1" width="85.44140625" bestFit="1" customWidth="1"/>
    <col min="2" max="2" width="13.33203125" bestFit="1" customWidth="1"/>
    <col min="3" max="3" width="16.33203125" bestFit="1" customWidth="1"/>
    <col min="4" max="4" width="8.44140625" style="49" bestFit="1" customWidth="1"/>
    <col min="5" max="5" width="46.109375" style="49" bestFit="1" customWidth="1"/>
  </cols>
  <sheetData>
    <row r="1" spans="1:6" s="1" customFormat="1" ht="18" x14ac:dyDescent="0.35">
      <c r="A1" s="244" t="s">
        <v>288</v>
      </c>
      <c r="B1" s="244"/>
      <c r="C1" s="244"/>
      <c r="D1" s="244"/>
      <c r="E1" s="244"/>
      <c r="F1" s="244"/>
    </row>
    <row r="2" spans="1:6" x14ac:dyDescent="0.3">
      <c r="A2" s="2" t="s">
        <v>25</v>
      </c>
      <c r="B2" s="3" t="s">
        <v>28</v>
      </c>
      <c r="C2" s="3" t="s">
        <v>24</v>
      </c>
      <c r="D2" s="40" t="s">
        <v>26</v>
      </c>
      <c r="E2" s="50"/>
    </row>
    <row r="3" spans="1:6" x14ac:dyDescent="0.3">
      <c r="A3" s="4" t="s">
        <v>29</v>
      </c>
      <c r="B3" s="5"/>
      <c r="C3" s="5"/>
      <c r="D3" s="41"/>
      <c r="E3" s="41"/>
    </row>
    <row r="4" spans="1:6" ht="16.2" x14ac:dyDescent="0.3">
      <c r="A4" s="9" t="s">
        <v>263</v>
      </c>
      <c r="B4" s="7" t="s">
        <v>199</v>
      </c>
      <c r="C4" s="10" t="s">
        <v>200</v>
      </c>
      <c r="D4" s="51">
        <v>0.5</v>
      </c>
      <c r="E4" s="42"/>
    </row>
    <row r="5" spans="1:6" ht="16.8" x14ac:dyDescent="0.35">
      <c r="A5" s="9" t="s">
        <v>270</v>
      </c>
      <c r="B5" s="11" t="s">
        <v>202</v>
      </c>
      <c r="C5" s="11" t="s">
        <v>203</v>
      </c>
      <c r="D5" s="246">
        <v>3.3</v>
      </c>
      <c r="E5" s="12"/>
    </row>
    <row r="6" spans="1:6" ht="16.8" x14ac:dyDescent="0.35">
      <c r="A6" s="9" t="s">
        <v>264</v>
      </c>
      <c r="B6" s="7" t="s">
        <v>205</v>
      </c>
      <c r="C6" s="8" t="s">
        <v>203</v>
      </c>
      <c r="D6" s="42">
        <v>11.32</v>
      </c>
      <c r="E6" s="42"/>
    </row>
    <row r="7" spans="1:6" ht="16.8" x14ac:dyDescent="0.35">
      <c r="A7" s="9" t="s">
        <v>265</v>
      </c>
      <c r="B7" s="7" t="s">
        <v>207</v>
      </c>
      <c r="C7" s="10" t="s">
        <v>200</v>
      </c>
      <c r="D7" s="42">
        <v>0.19400000000000001</v>
      </c>
      <c r="E7" s="42"/>
    </row>
    <row r="8" spans="1:6" x14ac:dyDescent="0.3">
      <c r="A8" s="15"/>
      <c r="B8" s="11"/>
      <c r="C8" s="11"/>
      <c r="D8" s="7"/>
      <c r="E8" s="7"/>
    </row>
    <row r="9" spans="1:6" ht="16.2" x14ac:dyDescent="0.3">
      <c r="A9" s="18" t="s">
        <v>272</v>
      </c>
      <c r="B9" s="52" t="s">
        <v>214</v>
      </c>
      <c r="C9" s="52" t="s">
        <v>106</v>
      </c>
      <c r="D9" s="53">
        <f>D10*(EXP(((LN(D13)-D11)^2/D12)))</f>
        <v>43.05014028881498</v>
      </c>
      <c r="E9" s="7"/>
    </row>
    <row r="10" spans="1:6" ht="15.6" x14ac:dyDescent="0.3">
      <c r="A10" s="13" t="s">
        <v>266</v>
      </c>
      <c r="B10" s="14" t="s">
        <v>21</v>
      </c>
      <c r="C10" s="17" t="s">
        <v>200</v>
      </c>
      <c r="D10" s="7">
        <f>'QC Equation Constants'!B18</f>
        <v>13.3093</v>
      </c>
      <c r="E10" s="111" t="s">
        <v>274</v>
      </c>
    </row>
    <row r="11" spans="1:6" ht="15.6" x14ac:dyDescent="0.3">
      <c r="A11" s="13" t="s">
        <v>267</v>
      </c>
      <c r="B11" s="14" t="s">
        <v>22</v>
      </c>
      <c r="C11" s="17" t="s">
        <v>200</v>
      </c>
      <c r="D11" s="7">
        <f>'QC Equation Constants'!C18</f>
        <v>19.838699999999999</v>
      </c>
      <c r="E11" s="111" t="s">
        <v>274</v>
      </c>
    </row>
    <row r="12" spans="1:6" ht="15.6" x14ac:dyDescent="0.3">
      <c r="A12" s="13" t="s">
        <v>268</v>
      </c>
      <c r="B12" s="14" t="s">
        <v>23</v>
      </c>
      <c r="C12" s="17" t="s">
        <v>200</v>
      </c>
      <c r="D12" s="7">
        <f>'QC Equation Constants'!D18</f>
        <v>230.1652</v>
      </c>
      <c r="E12" s="111" t="s">
        <v>274</v>
      </c>
    </row>
    <row r="13" spans="1:6" ht="15.6" x14ac:dyDescent="0.35">
      <c r="A13" s="13" t="s">
        <v>271</v>
      </c>
      <c r="B13" s="14" t="s">
        <v>209</v>
      </c>
      <c r="C13" s="14" t="s">
        <v>173</v>
      </c>
      <c r="D13" s="7">
        <f>Risk_Calculations!D37</f>
        <v>30</v>
      </c>
      <c r="E13" s="201" t="s">
        <v>14</v>
      </c>
    </row>
    <row r="14" spans="1:6" x14ac:dyDescent="0.3">
      <c r="A14" s="18"/>
      <c r="B14" s="14"/>
      <c r="C14" s="14"/>
      <c r="D14" s="7"/>
    </row>
    <row r="15" spans="1:6" ht="15.6" x14ac:dyDescent="0.3">
      <c r="A15" s="78" t="s">
        <v>90</v>
      </c>
      <c r="B15" s="79" t="s">
        <v>280</v>
      </c>
      <c r="C15" s="79" t="s">
        <v>70</v>
      </c>
      <c r="D15" s="80">
        <f>D9*(3600/(0.036*(1-D4)*((D5/D6)^3)*D7))</f>
        <v>1791431876.3856926</v>
      </c>
      <c r="E15" s="7"/>
    </row>
    <row r="16" spans="1:6" ht="15.6" x14ac:dyDescent="0.3">
      <c r="A16" s="81" t="s">
        <v>276</v>
      </c>
      <c r="B16" s="82" t="s">
        <v>287</v>
      </c>
      <c r="C16" s="82" t="s">
        <v>186</v>
      </c>
      <c r="D16" s="83">
        <f>1/D15</f>
        <v>5.5821268627727683E-10</v>
      </c>
      <c r="E16" s="45"/>
    </row>
    <row r="17" spans="1:5" x14ac:dyDescent="0.3">
      <c r="A17" s="31" t="s">
        <v>262</v>
      </c>
      <c r="B17" s="8"/>
      <c r="C17" s="8"/>
      <c r="D17" s="7"/>
      <c r="E17" s="45"/>
    </row>
    <row r="18" spans="1:5" ht="15" x14ac:dyDescent="0.3">
      <c r="A18" s="32" t="s">
        <v>87</v>
      </c>
      <c r="B18" s="33"/>
      <c r="C18" s="34"/>
      <c r="D18" s="45"/>
      <c r="E18" s="7"/>
    </row>
    <row r="19" spans="1:5" x14ac:dyDescent="0.3">
      <c r="A19" s="247" t="s">
        <v>431</v>
      </c>
      <c r="B19" s="35"/>
      <c r="C19" s="36"/>
      <c r="D19" s="46"/>
      <c r="E19" s="7"/>
    </row>
    <row r="20" spans="1:5" x14ac:dyDescent="0.3">
      <c r="A20" s="248" t="s">
        <v>314</v>
      </c>
      <c r="B20" s="35"/>
      <c r="C20" s="36"/>
      <c r="D20" s="46"/>
      <c r="E20" s="7"/>
    </row>
    <row r="21" spans="1:5" ht="16.2" x14ac:dyDescent="0.35">
      <c r="A21" s="31" t="s">
        <v>273</v>
      </c>
      <c r="B21" s="8"/>
      <c r="C21" s="8"/>
      <c r="D21" s="47"/>
      <c r="E21" s="7"/>
    </row>
    <row r="22" spans="1:5" ht="16.8" x14ac:dyDescent="0.35">
      <c r="A22" s="38" t="s">
        <v>99</v>
      </c>
      <c r="B22" s="39"/>
      <c r="C22" s="39"/>
      <c r="D22" s="48"/>
    </row>
    <row r="23" spans="1:5" ht="16.8" x14ac:dyDescent="0.35">
      <c r="A23" s="31" t="s">
        <v>289</v>
      </c>
      <c r="B23" s="39"/>
      <c r="C23" s="39"/>
      <c r="D23" s="48"/>
    </row>
    <row r="24" spans="1:5" ht="15" x14ac:dyDescent="0.35">
      <c r="A24" s="31" t="s">
        <v>331</v>
      </c>
      <c r="B24" s="8"/>
      <c r="C24" s="8"/>
      <c r="D24" s="7"/>
    </row>
  </sheetData>
  <mergeCells count="1">
    <mergeCell ref="A1:F1"/>
  </mergeCells>
  <phoneticPr fontId="57"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
  <sheetViews>
    <sheetView zoomScaleNormal="100" workbookViewId="0">
      <selection activeCell="A20" sqref="A20"/>
    </sheetView>
  </sheetViews>
  <sheetFormatPr defaultColWidth="11.44140625" defaultRowHeight="14.4" x14ac:dyDescent="0.3"/>
  <cols>
    <col min="1" max="1" width="85.44140625" bestFit="1" customWidth="1"/>
    <col min="2" max="2" width="9.44140625" bestFit="1" customWidth="1"/>
    <col min="3" max="3" width="16.33203125" bestFit="1" customWidth="1"/>
    <col min="4" max="4" width="10.44140625" style="49" customWidth="1"/>
    <col min="5" max="5" width="46.109375" style="49" bestFit="1" customWidth="1"/>
  </cols>
  <sheetData>
    <row r="1" spans="1:6" s="1" customFormat="1" ht="18" x14ac:dyDescent="0.35">
      <c r="A1" s="244" t="s">
        <v>192</v>
      </c>
      <c r="B1" s="244"/>
      <c r="C1" s="244"/>
      <c r="D1" s="244"/>
      <c r="E1" s="244"/>
      <c r="F1" s="244"/>
    </row>
    <row r="2" spans="1:6" x14ac:dyDescent="0.3">
      <c r="A2" s="2" t="s">
        <v>25</v>
      </c>
      <c r="B2" s="3" t="s">
        <v>28</v>
      </c>
      <c r="C2" s="3" t="s">
        <v>24</v>
      </c>
      <c r="D2" s="40" t="s">
        <v>26</v>
      </c>
      <c r="E2" s="50"/>
    </row>
    <row r="3" spans="1:6" x14ac:dyDescent="0.3">
      <c r="A3" s="4" t="s">
        <v>29</v>
      </c>
      <c r="B3" s="5"/>
      <c r="C3" s="5"/>
      <c r="D3" s="41"/>
      <c r="E3" s="41"/>
    </row>
    <row r="4" spans="1:6" ht="16.2" x14ac:dyDescent="0.3">
      <c r="A4" s="9" t="s">
        <v>263</v>
      </c>
      <c r="B4" s="7" t="s">
        <v>199</v>
      </c>
      <c r="C4" s="10" t="s">
        <v>200</v>
      </c>
      <c r="D4" s="51">
        <v>0.5</v>
      </c>
      <c r="E4" s="42"/>
    </row>
    <row r="5" spans="1:6" ht="16.8" x14ac:dyDescent="0.35">
      <c r="A5" s="9" t="s">
        <v>270</v>
      </c>
      <c r="B5" s="11" t="s">
        <v>202</v>
      </c>
      <c r="C5" s="11" t="s">
        <v>203</v>
      </c>
      <c r="D5" s="246">
        <v>3.3</v>
      </c>
      <c r="E5" s="12"/>
    </row>
    <row r="6" spans="1:6" ht="16.8" x14ac:dyDescent="0.35">
      <c r="A6" s="9" t="s">
        <v>264</v>
      </c>
      <c r="B6" s="7" t="s">
        <v>205</v>
      </c>
      <c r="C6" s="8" t="s">
        <v>203</v>
      </c>
      <c r="D6" s="42">
        <v>11.32</v>
      </c>
      <c r="E6" s="42"/>
    </row>
    <row r="7" spans="1:6" ht="16.8" x14ac:dyDescent="0.35">
      <c r="A7" s="9" t="s">
        <v>265</v>
      </c>
      <c r="B7" s="7" t="s">
        <v>207</v>
      </c>
      <c r="C7" s="10" t="s">
        <v>200</v>
      </c>
      <c r="D7" s="42">
        <v>0.19400000000000001</v>
      </c>
      <c r="E7" s="42"/>
    </row>
    <row r="8" spans="1:6" x14ac:dyDescent="0.3">
      <c r="A8" s="15"/>
      <c r="B8" s="11"/>
      <c r="C8" s="11"/>
      <c r="D8" s="7"/>
      <c r="E8" s="7"/>
    </row>
    <row r="9" spans="1:6" ht="16.2" x14ac:dyDescent="0.3">
      <c r="A9" s="18" t="s">
        <v>272</v>
      </c>
      <c r="B9" s="52" t="s">
        <v>214</v>
      </c>
      <c r="C9" s="52" t="s">
        <v>106</v>
      </c>
      <c r="D9" s="53">
        <f>D10*(EXP(((LN(D13)-D11)^2/D12)))</f>
        <v>43.05014028881498</v>
      </c>
      <c r="E9" s="7"/>
    </row>
    <row r="10" spans="1:6" ht="15.6" x14ac:dyDescent="0.3">
      <c r="A10" s="13" t="s">
        <v>266</v>
      </c>
      <c r="B10" s="14" t="s">
        <v>21</v>
      </c>
      <c r="C10" s="17" t="s">
        <v>200</v>
      </c>
      <c r="D10" s="7">
        <f>'QC Equation Constants'!B18</f>
        <v>13.3093</v>
      </c>
      <c r="E10" s="111" t="s">
        <v>274</v>
      </c>
    </row>
    <row r="11" spans="1:6" ht="15.6" x14ac:dyDescent="0.3">
      <c r="A11" s="13" t="s">
        <v>267</v>
      </c>
      <c r="B11" s="14" t="s">
        <v>22</v>
      </c>
      <c r="C11" s="17" t="s">
        <v>200</v>
      </c>
      <c r="D11" s="7">
        <f>'QC Equation Constants'!C18</f>
        <v>19.838699999999999</v>
      </c>
      <c r="E11" s="111" t="s">
        <v>274</v>
      </c>
    </row>
    <row r="12" spans="1:6" ht="15.6" x14ac:dyDescent="0.3">
      <c r="A12" s="13" t="s">
        <v>268</v>
      </c>
      <c r="B12" s="14" t="s">
        <v>23</v>
      </c>
      <c r="C12" s="17" t="s">
        <v>200</v>
      </c>
      <c r="D12" s="7">
        <f>'QC Equation Constants'!D18</f>
        <v>230.1652</v>
      </c>
      <c r="E12" s="111" t="s">
        <v>274</v>
      </c>
    </row>
    <row r="13" spans="1:6" ht="15.6" x14ac:dyDescent="0.35">
      <c r="A13" s="13" t="s">
        <v>271</v>
      </c>
      <c r="B13" s="14" t="s">
        <v>209</v>
      </c>
      <c r="C13" s="14" t="s">
        <v>173</v>
      </c>
      <c r="D13" s="7">
        <f>Risk_Calculations!D37</f>
        <v>30</v>
      </c>
      <c r="E13" s="201" t="s">
        <v>14</v>
      </c>
    </row>
    <row r="14" spans="1:6" x14ac:dyDescent="0.3">
      <c r="A14" s="18"/>
      <c r="B14" s="14"/>
      <c r="C14" s="14"/>
      <c r="D14" s="7"/>
      <c r="E14" s="7"/>
    </row>
    <row r="15" spans="1:6" ht="15.6" x14ac:dyDescent="0.3">
      <c r="A15" s="78" t="s">
        <v>275</v>
      </c>
      <c r="B15" s="79" t="s">
        <v>189</v>
      </c>
      <c r="C15" s="79" t="s">
        <v>70</v>
      </c>
      <c r="D15" s="80">
        <f>D9*(3600/(0.036*(1-D4)*((D5/D6)^3)*D7))</f>
        <v>1791431876.3856926</v>
      </c>
      <c r="E15" s="7"/>
    </row>
    <row r="16" spans="1:6" ht="15.6" x14ac:dyDescent="0.3">
      <c r="A16" s="81" t="s">
        <v>276</v>
      </c>
      <c r="B16" s="82" t="s">
        <v>84</v>
      </c>
      <c r="C16" s="82" t="s">
        <v>186</v>
      </c>
      <c r="D16" s="83">
        <f>1/D15</f>
        <v>5.5821268627727683E-10</v>
      </c>
      <c r="E16" s="45"/>
    </row>
    <row r="17" spans="1:5" x14ac:dyDescent="0.3">
      <c r="A17" s="31" t="s">
        <v>262</v>
      </c>
      <c r="B17" s="8"/>
      <c r="C17" s="8"/>
      <c r="D17" s="7"/>
      <c r="E17" s="45"/>
    </row>
    <row r="18" spans="1:5" ht="15" x14ac:dyDescent="0.3">
      <c r="A18" s="32" t="s">
        <v>87</v>
      </c>
      <c r="B18" s="33"/>
      <c r="C18" s="34"/>
      <c r="D18" s="45"/>
      <c r="E18" s="7"/>
    </row>
    <row r="19" spans="1:5" x14ac:dyDescent="0.3">
      <c r="A19" s="247" t="s">
        <v>431</v>
      </c>
      <c r="B19" s="35"/>
      <c r="C19" s="36"/>
      <c r="D19" s="46"/>
      <c r="E19" s="7"/>
    </row>
    <row r="20" spans="1:5" x14ac:dyDescent="0.3">
      <c r="A20" s="248" t="s">
        <v>314</v>
      </c>
      <c r="B20" s="35"/>
      <c r="C20" s="36"/>
      <c r="D20" s="46"/>
      <c r="E20" s="7"/>
    </row>
    <row r="21" spans="1:5" ht="16.2" x14ac:dyDescent="0.35">
      <c r="A21" s="31" t="s">
        <v>273</v>
      </c>
      <c r="B21" s="8"/>
      <c r="C21" s="8"/>
      <c r="D21" s="47"/>
      <c r="E21" s="7"/>
    </row>
    <row r="22" spans="1:5" ht="16.8" x14ac:dyDescent="0.35">
      <c r="A22" s="38" t="s">
        <v>99</v>
      </c>
      <c r="B22" s="39"/>
      <c r="C22" s="39"/>
      <c r="D22" s="48"/>
    </row>
    <row r="23" spans="1:5" ht="16.8" x14ac:dyDescent="0.35">
      <c r="A23" s="31" t="s">
        <v>281</v>
      </c>
      <c r="B23" s="39"/>
      <c r="C23" s="39"/>
      <c r="D23" s="48"/>
    </row>
    <row r="24" spans="1:5" ht="15" x14ac:dyDescent="0.35">
      <c r="A24" s="31" t="s">
        <v>277</v>
      </c>
      <c r="B24" s="8"/>
      <c r="C24" s="8"/>
      <c r="D24" s="7"/>
    </row>
  </sheetData>
  <mergeCells count="1">
    <mergeCell ref="A1:F1"/>
  </mergeCells>
  <phoneticPr fontId="57" type="noConversion"/>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5"/>
  <sheetViews>
    <sheetView topLeftCell="A3" workbookViewId="0">
      <selection activeCell="M27" sqref="M27"/>
    </sheetView>
  </sheetViews>
  <sheetFormatPr defaultColWidth="11.44140625" defaultRowHeight="14.4" x14ac:dyDescent="0.3"/>
  <cols>
    <col min="1" max="1" width="21.6640625" bestFit="1" customWidth="1"/>
    <col min="2" max="4" width="10.44140625" bestFit="1" customWidth="1"/>
    <col min="5" max="5" width="11.44140625" customWidth="1"/>
    <col min="6" max="6" width="21.6640625" bestFit="1" customWidth="1"/>
    <col min="7" max="9" width="10.44140625" bestFit="1" customWidth="1"/>
  </cols>
  <sheetData>
    <row r="1" spans="1:9" x14ac:dyDescent="0.3">
      <c r="A1" s="123" t="s">
        <v>17</v>
      </c>
      <c r="B1" s="123"/>
      <c r="C1" s="123"/>
      <c r="D1" s="123"/>
      <c r="F1" s="123" t="s">
        <v>16</v>
      </c>
      <c r="G1" s="123"/>
      <c r="H1" s="123"/>
      <c r="I1" s="123"/>
    </row>
    <row r="2" spans="1:9" ht="16.8" x14ac:dyDescent="0.35">
      <c r="A2" s="245" t="s">
        <v>254</v>
      </c>
      <c r="B2" s="245"/>
      <c r="C2" s="245"/>
      <c r="D2" s="245"/>
      <c r="F2" s="245" t="s">
        <v>255</v>
      </c>
      <c r="G2" s="245"/>
      <c r="H2" s="245"/>
      <c r="I2" s="245"/>
    </row>
    <row r="3" spans="1:9" ht="15" thickBot="1" x14ac:dyDescent="0.35">
      <c r="A3" s="98" t="s">
        <v>162</v>
      </c>
      <c r="B3" s="98" t="s">
        <v>234</v>
      </c>
      <c r="C3" s="98" t="s">
        <v>235</v>
      </c>
      <c r="D3" s="98" t="s">
        <v>236</v>
      </c>
      <c r="F3" s="98" t="s">
        <v>162</v>
      </c>
      <c r="G3" s="98" t="s">
        <v>234</v>
      </c>
      <c r="H3" s="98" t="s">
        <v>235</v>
      </c>
      <c r="I3" s="98" t="s">
        <v>236</v>
      </c>
    </row>
    <row r="4" spans="1:9" ht="15" thickTop="1" x14ac:dyDescent="0.3">
      <c r="A4" t="s">
        <v>217</v>
      </c>
      <c r="B4">
        <v>14.9421</v>
      </c>
      <c r="C4">
        <v>17.986899999999999</v>
      </c>
      <c r="D4">
        <v>205.1782</v>
      </c>
      <c r="F4" t="s">
        <v>217</v>
      </c>
      <c r="G4">
        <v>17.825199999999999</v>
      </c>
      <c r="H4">
        <v>22.870100000000001</v>
      </c>
      <c r="I4">
        <v>274.12610000000001</v>
      </c>
    </row>
    <row r="5" spans="1:9" x14ac:dyDescent="0.3">
      <c r="A5" t="s">
        <v>218</v>
      </c>
      <c r="B5">
        <v>14.834899999999999</v>
      </c>
      <c r="C5">
        <v>17.925899999999999</v>
      </c>
      <c r="D5">
        <v>204.1516</v>
      </c>
      <c r="F5" t="s">
        <v>218</v>
      </c>
      <c r="G5">
        <v>15.8125</v>
      </c>
      <c r="H5">
        <v>23.752700000000001</v>
      </c>
      <c r="I5">
        <v>288.61079999999998</v>
      </c>
    </row>
    <row r="6" spans="1:9" x14ac:dyDescent="0.3">
      <c r="A6" t="s">
        <v>219</v>
      </c>
      <c r="B6">
        <v>15.0235</v>
      </c>
      <c r="C6">
        <v>18.252600000000001</v>
      </c>
      <c r="D6">
        <v>207.33869999999999</v>
      </c>
      <c r="F6" t="s">
        <v>219</v>
      </c>
      <c r="G6">
        <v>18.892800000000001</v>
      </c>
      <c r="H6">
        <v>22.227399999999999</v>
      </c>
      <c r="I6">
        <v>268.28489999999999</v>
      </c>
    </row>
    <row r="7" spans="1:9" x14ac:dyDescent="0.3">
      <c r="A7" t="s">
        <v>220</v>
      </c>
      <c r="B7">
        <v>11.3161</v>
      </c>
      <c r="C7">
        <v>19.643699999999999</v>
      </c>
      <c r="D7">
        <v>224.81720000000001</v>
      </c>
      <c r="F7" t="s">
        <v>220</v>
      </c>
      <c r="G7">
        <v>12.2294</v>
      </c>
      <c r="H7">
        <v>23.8156</v>
      </c>
      <c r="I7">
        <v>286.48070000000001</v>
      </c>
    </row>
    <row r="8" spans="1:9" x14ac:dyDescent="0.3">
      <c r="A8" t="s">
        <v>137</v>
      </c>
      <c r="B8">
        <v>7.1414</v>
      </c>
      <c r="C8">
        <v>31.179400000000001</v>
      </c>
      <c r="D8">
        <v>382.6078</v>
      </c>
      <c r="F8" t="s">
        <v>137</v>
      </c>
      <c r="G8">
        <v>18.427499999999998</v>
      </c>
      <c r="H8">
        <v>22.901499999999999</v>
      </c>
      <c r="I8">
        <v>280.69490000000002</v>
      </c>
    </row>
    <row r="9" spans="1:9" x14ac:dyDescent="0.3">
      <c r="A9" t="s">
        <v>138</v>
      </c>
      <c r="B9">
        <v>13.7674</v>
      </c>
      <c r="C9">
        <v>18.0441</v>
      </c>
      <c r="D9">
        <v>204.8689</v>
      </c>
      <c r="F9" t="s">
        <v>138</v>
      </c>
      <c r="G9">
        <v>19.290400000000002</v>
      </c>
      <c r="H9">
        <v>21.9679</v>
      </c>
      <c r="I9">
        <v>265.05059999999997</v>
      </c>
    </row>
    <row r="10" spans="1:9" x14ac:dyDescent="0.3">
      <c r="A10" t="s">
        <v>139</v>
      </c>
      <c r="B10">
        <v>16.865300000000001</v>
      </c>
      <c r="C10">
        <v>18.784800000000001</v>
      </c>
      <c r="D10">
        <v>215.0624</v>
      </c>
      <c r="F10" t="s">
        <v>139</v>
      </c>
      <c r="G10">
        <v>20.183700000000002</v>
      </c>
      <c r="H10">
        <v>21.636700000000001</v>
      </c>
      <c r="I10">
        <v>264.06849999999997</v>
      </c>
    </row>
    <row r="11" spans="1:9" x14ac:dyDescent="0.3">
      <c r="A11" t="s">
        <v>140</v>
      </c>
      <c r="B11">
        <v>12.8612</v>
      </c>
      <c r="C11">
        <v>20.516400000000001</v>
      </c>
      <c r="D11">
        <v>237.27979999999999</v>
      </c>
      <c r="F11" t="s">
        <v>140</v>
      </c>
      <c r="G11">
        <v>13.4283</v>
      </c>
      <c r="H11">
        <v>24.532800000000002</v>
      </c>
      <c r="I11">
        <v>302.17380000000003</v>
      </c>
    </row>
    <row r="12" spans="1:9" x14ac:dyDescent="0.3">
      <c r="A12" t="s">
        <v>141</v>
      </c>
      <c r="B12">
        <v>11.3612</v>
      </c>
      <c r="C12">
        <v>19.3324</v>
      </c>
      <c r="D12">
        <v>221.2167</v>
      </c>
      <c r="F12" t="s">
        <v>141</v>
      </c>
      <c r="G12">
        <v>12.077</v>
      </c>
      <c r="H12">
        <v>22.562100000000001</v>
      </c>
      <c r="I12">
        <v>272.56849999999997</v>
      </c>
    </row>
    <row r="13" spans="1:9" x14ac:dyDescent="0.3">
      <c r="A13" t="s">
        <v>142</v>
      </c>
      <c r="B13">
        <v>10.215199999999999</v>
      </c>
      <c r="C13">
        <v>19.2654</v>
      </c>
      <c r="D13">
        <v>220.06039999999999</v>
      </c>
      <c r="F13" t="s">
        <v>142</v>
      </c>
      <c r="G13">
        <v>11.555400000000001</v>
      </c>
      <c r="H13">
        <v>22.257100000000001</v>
      </c>
      <c r="I13">
        <v>268.03309999999999</v>
      </c>
    </row>
    <row r="14" spans="1:9" x14ac:dyDescent="0.3">
      <c r="A14" t="s">
        <v>143</v>
      </c>
      <c r="B14">
        <v>15.5169</v>
      </c>
      <c r="C14">
        <v>18.424800000000001</v>
      </c>
      <c r="D14">
        <v>211.7679</v>
      </c>
      <c r="F14" t="s">
        <v>143</v>
      </c>
      <c r="G14">
        <v>17.296800000000001</v>
      </c>
      <c r="H14">
        <v>22.291699999999999</v>
      </c>
      <c r="I14">
        <v>272.98</v>
      </c>
    </row>
    <row r="15" spans="1:9" x14ac:dyDescent="0.3">
      <c r="A15" t="s">
        <v>144</v>
      </c>
      <c r="B15">
        <v>12.5907</v>
      </c>
      <c r="C15">
        <v>18.8368</v>
      </c>
      <c r="D15">
        <v>215.43770000000001</v>
      </c>
      <c r="F15" t="s">
        <v>144</v>
      </c>
      <c r="G15">
        <v>15.3353</v>
      </c>
      <c r="H15">
        <v>21.669</v>
      </c>
      <c r="I15">
        <v>261.7432</v>
      </c>
    </row>
    <row r="16" spans="1:9" x14ac:dyDescent="0.3">
      <c r="A16" t="s">
        <v>145</v>
      </c>
      <c r="B16">
        <v>13.648199999999999</v>
      </c>
      <c r="C16">
        <v>18.1754</v>
      </c>
      <c r="D16">
        <v>206.72730000000001</v>
      </c>
      <c r="F16" t="s">
        <v>145</v>
      </c>
      <c r="G16">
        <v>18.927299999999999</v>
      </c>
      <c r="H16">
        <v>20.160900000000002</v>
      </c>
      <c r="I16">
        <v>242.9736</v>
      </c>
    </row>
    <row r="17" spans="1:9" x14ac:dyDescent="0.3">
      <c r="A17" t="s">
        <v>146</v>
      </c>
      <c r="B17">
        <v>9.9253</v>
      </c>
      <c r="C17">
        <v>18.663599999999999</v>
      </c>
      <c r="D17">
        <v>211.8862</v>
      </c>
      <c r="F17" t="s">
        <v>146</v>
      </c>
      <c r="G17">
        <v>12.152100000000001</v>
      </c>
      <c r="H17">
        <v>21.196999999999999</v>
      </c>
      <c r="I17">
        <v>252.69640000000001</v>
      </c>
    </row>
    <row r="18" spans="1:9" x14ac:dyDescent="0.3">
      <c r="A18" s="190" t="s">
        <v>147</v>
      </c>
      <c r="B18" s="191">
        <v>13.3093</v>
      </c>
      <c r="C18" s="191">
        <v>19.838699999999999</v>
      </c>
      <c r="D18" s="192">
        <v>230.1652</v>
      </c>
      <c r="F18" s="190" t="s">
        <v>147</v>
      </c>
      <c r="G18" s="191">
        <v>12.1784</v>
      </c>
      <c r="H18" s="191">
        <v>24.560600000000001</v>
      </c>
      <c r="I18" s="192">
        <v>296.4751</v>
      </c>
    </row>
    <row r="19" spans="1:9" x14ac:dyDescent="0.3">
      <c r="A19" t="s">
        <v>148</v>
      </c>
      <c r="B19">
        <v>14.190099999999999</v>
      </c>
      <c r="C19">
        <v>18.563400000000001</v>
      </c>
      <c r="D19">
        <v>210.52809999999999</v>
      </c>
      <c r="F19" t="s">
        <v>148</v>
      </c>
      <c r="G19">
        <v>17.689699999999998</v>
      </c>
      <c r="H19">
        <v>22.782599999999999</v>
      </c>
      <c r="I19">
        <v>273.29070000000002</v>
      </c>
    </row>
    <row r="20" spans="1:9" x14ac:dyDescent="0.3">
      <c r="A20" t="s">
        <v>149</v>
      </c>
      <c r="B20">
        <v>12.4964</v>
      </c>
      <c r="C20">
        <v>18.447600000000001</v>
      </c>
      <c r="D20">
        <v>210.21279999999999</v>
      </c>
      <c r="F20" t="s">
        <v>149</v>
      </c>
      <c r="G20">
        <v>15.4094</v>
      </c>
      <c r="H20">
        <v>21.719799999999999</v>
      </c>
      <c r="I20">
        <v>261.89260000000002</v>
      </c>
    </row>
    <row r="21" spans="1:9" x14ac:dyDescent="0.3">
      <c r="A21" t="s">
        <v>150</v>
      </c>
      <c r="B21">
        <v>11.911</v>
      </c>
      <c r="C21">
        <v>18.438500000000001</v>
      </c>
      <c r="D21">
        <v>209.78450000000001</v>
      </c>
      <c r="F21" t="s">
        <v>150</v>
      </c>
      <c r="G21">
        <v>15.7133</v>
      </c>
      <c r="H21">
        <v>21.899699999999999</v>
      </c>
      <c r="I21">
        <v>269.82440000000003</v>
      </c>
    </row>
    <row r="22" spans="1:9" x14ac:dyDescent="0.3">
      <c r="A22" t="s">
        <v>151</v>
      </c>
      <c r="B22">
        <v>12.196</v>
      </c>
      <c r="C22">
        <v>19.064499999999999</v>
      </c>
      <c r="D22">
        <v>215.39230000000001</v>
      </c>
      <c r="F22" t="s">
        <v>151</v>
      </c>
      <c r="G22">
        <v>17.7682</v>
      </c>
      <c r="H22">
        <v>21.3218</v>
      </c>
      <c r="I22">
        <v>253.64359999999999</v>
      </c>
    </row>
    <row r="23" spans="1:9" x14ac:dyDescent="0.3">
      <c r="A23" t="s">
        <v>152</v>
      </c>
      <c r="B23">
        <v>16.2302</v>
      </c>
      <c r="C23">
        <v>18.776199999999999</v>
      </c>
      <c r="D23">
        <v>216.108</v>
      </c>
      <c r="F23" t="s">
        <v>152</v>
      </c>
      <c r="G23">
        <v>20.235199999999999</v>
      </c>
      <c r="H23">
        <v>22.312899999999999</v>
      </c>
      <c r="I23">
        <v>271.13159999999999</v>
      </c>
    </row>
    <row r="24" spans="1:9" x14ac:dyDescent="0.3">
      <c r="A24" t="s">
        <v>153</v>
      </c>
      <c r="B24">
        <v>14.011100000000001</v>
      </c>
      <c r="C24">
        <v>19.615400000000001</v>
      </c>
      <c r="D24">
        <v>225.33969999999999</v>
      </c>
      <c r="F24" t="s">
        <v>153</v>
      </c>
      <c r="G24">
        <v>16.492699999999999</v>
      </c>
      <c r="H24">
        <v>22.218699999999998</v>
      </c>
      <c r="I24">
        <v>268.31389999999999</v>
      </c>
    </row>
    <row r="25" spans="1:9" x14ac:dyDescent="0.3">
      <c r="A25" t="s">
        <v>154</v>
      </c>
      <c r="B25">
        <v>10.287100000000001</v>
      </c>
      <c r="C25">
        <v>18.712399999999999</v>
      </c>
      <c r="D25">
        <v>212.2704</v>
      </c>
      <c r="F25" t="s">
        <v>154</v>
      </c>
      <c r="G25">
        <v>11.6831</v>
      </c>
      <c r="H25">
        <v>23.491</v>
      </c>
      <c r="I25">
        <v>287.99689999999998</v>
      </c>
    </row>
    <row r="26" spans="1:9" x14ac:dyDescent="0.3">
      <c r="A26" t="s">
        <v>155</v>
      </c>
      <c r="B26">
        <v>10.465999999999999</v>
      </c>
      <c r="C26">
        <v>20.907699999999998</v>
      </c>
      <c r="D26">
        <v>238.0318</v>
      </c>
      <c r="F26" t="s">
        <v>155</v>
      </c>
      <c r="G26">
        <v>13.2438</v>
      </c>
      <c r="H26">
        <v>23.275400000000001</v>
      </c>
      <c r="I26">
        <v>277.84730000000002</v>
      </c>
    </row>
    <row r="27" spans="1:9" x14ac:dyDescent="0.3">
      <c r="A27" t="s">
        <v>156</v>
      </c>
      <c r="B27">
        <v>12.3675</v>
      </c>
      <c r="C27">
        <v>18.633700000000001</v>
      </c>
      <c r="D27">
        <v>212.72839999999999</v>
      </c>
      <c r="F27" t="s">
        <v>156</v>
      </c>
      <c r="G27">
        <v>15.408099999999999</v>
      </c>
      <c r="H27">
        <v>21.865600000000001</v>
      </c>
      <c r="I27">
        <v>261.32670000000002</v>
      </c>
    </row>
    <row r="28" spans="1:9" x14ac:dyDescent="0.3">
      <c r="A28" t="s">
        <v>157</v>
      </c>
      <c r="B28">
        <v>12.378299999999999</v>
      </c>
      <c r="C28">
        <v>18.968299999999999</v>
      </c>
      <c r="D28">
        <v>218.20859999999999</v>
      </c>
      <c r="F28" t="s">
        <v>157</v>
      </c>
      <c r="G28">
        <v>14.5609</v>
      </c>
      <c r="H28">
        <v>21.997399999999999</v>
      </c>
      <c r="I28">
        <v>265.31979999999999</v>
      </c>
    </row>
    <row r="29" spans="1:9" x14ac:dyDescent="0.3">
      <c r="A29" t="s">
        <v>158</v>
      </c>
      <c r="B29">
        <v>13.2559</v>
      </c>
      <c r="C29">
        <v>19.297799999999999</v>
      </c>
      <c r="D29">
        <v>221.33789999999999</v>
      </c>
      <c r="F29" t="s">
        <v>158</v>
      </c>
      <c r="G29">
        <v>11.300599999999999</v>
      </c>
      <c r="H29">
        <v>25.865500000000001</v>
      </c>
      <c r="I29">
        <v>321.39240000000001</v>
      </c>
    </row>
    <row r="30" spans="1:9" x14ac:dyDescent="0.3">
      <c r="A30" t="s">
        <v>159</v>
      </c>
      <c r="B30">
        <v>13.8139</v>
      </c>
      <c r="C30">
        <v>20.162400000000002</v>
      </c>
      <c r="D30">
        <v>234.2869</v>
      </c>
      <c r="F30" t="s">
        <v>159</v>
      </c>
      <c r="G30">
        <v>13.199400000000001</v>
      </c>
      <c r="H30">
        <v>23.641400000000001</v>
      </c>
      <c r="I30">
        <v>283.53070000000002</v>
      </c>
    </row>
    <row r="31" spans="1:9" x14ac:dyDescent="0.3">
      <c r="A31" t="s">
        <v>160</v>
      </c>
      <c r="B31">
        <v>14.225300000000001</v>
      </c>
      <c r="C31">
        <v>18.836600000000001</v>
      </c>
      <c r="D31">
        <v>218.18450000000001</v>
      </c>
      <c r="F31" t="s">
        <v>160</v>
      </c>
      <c r="G31">
        <v>18.5578</v>
      </c>
      <c r="H31">
        <v>21.546900000000001</v>
      </c>
      <c r="I31">
        <v>269.04309999999998</v>
      </c>
    </row>
    <row r="32" spans="1:9" x14ac:dyDescent="0.3">
      <c r="A32" t="s">
        <v>161</v>
      </c>
      <c r="B32">
        <v>12.878399999999999</v>
      </c>
      <c r="C32">
        <v>17.980399999999999</v>
      </c>
      <c r="D32">
        <v>204.1028</v>
      </c>
      <c r="F32" t="s">
        <v>161</v>
      </c>
      <c r="G32">
        <v>16.515699999999999</v>
      </c>
      <c r="H32">
        <v>21.289400000000001</v>
      </c>
      <c r="I32">
        <v>252.86340000000001</v>
      </c>
    </row>
    <row r="34" spans="1:1" ht="16.2" x14ac:dyDescent="0.3">
      <c r="A34" s="109" t="s">
        <v>257</v>
      </c>
    </row>
    <row r="35" spans="1:1" ht="16.2" x14ac:dyDescent="0.3">
      <c r="A35" s="109" t="s">
        <v>256</v>
      </c>
    </row>
  </sheetData>
  <mergeCells count="2">
    <mergeCell ref="A2:D2"/>
    <mergeCell ref="F2:I2"/>
  </mergeCells>
  <phoneticPr fontId="57" type="noConversion"/>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4"/>
  <sheetViews>
    <sheetView topLeftCell="A14" zoomScaleNormal="100" workbookViewId="0">
      <selection activeCell="G14" sqref="G14"/>
    </sheetView>
  </sheetViews>
  <sheetFormatPr defaultColWidth="11.44140625" defaultRowHeight="14.4" x14ac:dyDescent="0.3"/>
  <cols>
    <col min="1" max="1" width="15.109375" bestFit="1" customWidth="1"/>
    <col min="2" max="2" width="21.6640625" customWidth="1"/>
    <col min="3" max="3" width="16" bestFit="1" customWidth="1"/>
    <col min="4" max="4" width="12.88671875" bestFit="1" customWidth="1"/>
    <col min="5" max="5" width="12.88671875" customWidth="1"/>
    <col min="6" max="6" width="28.44140625" customWidth="1"/>
  </cols>
  <sheetData>
    <row r="1" spans="1:17" ht="21" x14ac:dyDescent="0.4">
      <c r="A1" s="174" t="s">
        <v>391</v>
      </c>
      <c r="B1" s="174"/>
      <c r="C1" s="174"/>
      <c r="D1" s="174"/>
      <c r="E1" s="174"/>
      <c r="F1" s="174"/>
      <c r="G1" s="174"/>
      <c r="H1" s="174"/>
      <c r="I1" s="174"/>
      <c r="J1" s="174"/>
      <c r="K1" s="174"/>
      <c r="L1" s="174"/>
      <c r="M1" s="174"/>
      <c r="N1" s="174"/>
      <c r="O1" s="174"/>
      <c r="P1" s="174"/>
      <c r="Q1" s="174"/>
    </row>
    <row r="2" spans="1:17" ht="21" x14ac:dyDescent="0.4">
      <c r="A2" s="174" t="s">
        <v>371</v>
      </c>
      <c r="B2" s="174"/>
      <c r="C2" s="174"/>
      <c r="D2" s="174"/>
      <c r="E2" s="174"/>
      <c r="F2" s="174"/>
      <c r="G2" s="174"/>
      <c r="H2" s="174"/>
      <c r="I2" s="174"/>
      <c r="J2" s="174"/>
      <c r="K2" s="174"/>
      <c r="L2" s="174"/>
      <c r="M2" s="174"/>
      <c r="N2" s="174"/>
      <c r="O2" s="174"/>
      <c r="P2" s="174"/>
      <c r="Q2" s="174"/>
    </row>
    <row r="3" spans="1:17" ht="21" x14ac:dyDescent="0.4">
      <c r="A3" s="174" t="s">
        <v>370</v>
      </c>
      <c r="B3" s="174"/>
      <c r="C3" s="174"/>
      <c r="D3" s="174"/>
      <c r="E3" s="174"/>
      <c r="F3" s="174"/>
      <c r="G3" s="174"/>
      <c r="H3" s="174"/>
      <c r="I3" s="174"/>
      <c r="J3" s="174"/>
      <c r="K3" s="174"/>
      <c r="L3" s="174"/>
      <c r="M3" s="174"/>
      <c r="N3" s="174"/>
      <c r="O3" s="174"/>
      <c r="P3" s="174"/>
      <c r="Q3" s="174"/>
    </row>
    <row r="5" spans="1:17" ht="15.6" x14ac:dyDescent="0.3">
      <c r="F5" s="188" t="s">
        <v>20</v>
      </c>
      <c r="G5" s="232">
        <f>1*(1/(1/D15+1/D16+1/D17+1/D18+1/D19+1/D20+1/D24+1/D25+1/D21+1/D22+1/D23+1/D26+1/D27+1/D28+1/D29+1/D30+1/D31+1/D32+1/D33+1/D34+1/D35+1/D36+1/D37+1/D38))</f>
        <v>4166.666666666667</v>
      </c>
    </row>
    <row r="6" spans="1:17" ht="15.6" x14ac:dyDescent="0.3">
      <c r="F6" s="101" t="s">
        <v>306</v>
      </c>
      <c r="G6" s="101"/>
    </row>
    <row r="8" spans="1:17" ht="15.6" x14ac:dyDescent="0.3">
      <c r="F8" s="102" t="s">
        <v>365</v>
      </c>
      <c r="G8">
        <f>SUM(B15:B38)</f>
        <v>3</v>
      </c>
    </row>
    <row r="9" spans="1:17" ht="18" x14ac:dyDescent="0.35">
      <c r="A9" s="161" t="s">
        <v>1</v>
      </c>
      <c r="B9" s="161"/>
      <c r="C9" s="161"/>
      <c r="D9" s="161"/>
      <c r="F9" s="102"/>
    </row>
    <row r="11" spans="1:17" ht="15.6" x14ac:dyDescent="0.3">
      <c r="A11" s="99"/>
      <c r="B11" s="100"/>
      <c r="C11" s="100"/>
      <c r="D11" s="176" t="s">
        <v>0</v>
      </c>
    </row>
    <row r="12" spans="1:17" ht="15.6" x14ac:dyDescent="0.3">
      <c r="A12" s="101"/>
      <c r="B12" s="102" t="s">
        <v>68</v>
      </c>
      <c r="C12" s="102" t="s">
        <v>69</v>
      </c>
      <c r="D12" s="102" t="s">
        <v>237</v>
      </c>
    </row>
    <row r="13" spans="1:17" ht="15.6" x14ac:dyDescent="0.3">
      <c r="A13" s="101"/>
      <c r="B13" s="102" t="s">
        <v>366</v>
      </c>
      <c r="C13" s="102" t="s">
        <v>366</v>
      </c>
      <c r="D13" s="102" t="s">
        <v>238</v>
      </c>
      <c r="E13" s="102"/>
    </row>
    <row r="14" spans="1:17" ht="53.4" customHeight="1" x14ac:dyDescent="0.3">
      <c r="A14" s="103" t="s">
        <v>178</v>
      </c>
      <c r="B14" s="221" t="s">
        <v>367</v>
      </c>
      <c r="C14" s="103"/>
      <c r="D14" s="103" t="s">
        <v>397</v>
      </c>
      <c r="E14" s="102"/>
    </row>
    <row r="15" spans="1:17" ht="15.6" x14ac:dyDescent="0.3">
      <c r="A15" s="185" t="s">
        <v>398</v>
      </c>
      <c r="B15" s="186">
        <v>1</v>
      </c>
      <c r="C15" s="186" t="s">
        <v>427</v>
      </c>
      <c r="D15" s="187">
        <v>100000</v>
      </c>
      <c r="E15" s="231"/>
    </row>
    <row r="16" spans="1:17" ht="15.6" x14ac:dyDescent="0.3">
      <c r="A16" s="236" t="s">
        <v>399</v>
      </c>
      <c r="B16" s="186" t="s">
        <v>177</v>
      </c>
      <c r="C16" s="186" t="s">
        <v>177</v>
      </c>
      <c r="D16" s="187">
        <v>100000</v>
      </c>
      <c r="E16" s="104"/>
    </row>
    <row r="17" spans="1:5" ht="15.6" x14ac:dyDescent="0.3">
      <c r="A17" s="236" t="s">
        <v>400</v>
      </c>
      <c r="B17" s="186" t="s">
        <v>177</v>
      </c>
      <c r="C17" s="186" t="s">
        <v>177</v>
      </c>
      <c r="D17" s="187">
        <v>100000</v>
      </c>
      <c r="E17" s="104"/>
    </row>
    <row r="18" spans="1:5" ht="15.6" x14ac:dyDescent="0.3">
      <c r="A18" s="236" t="s">
        <v>401</v>
      </c>
      <c r="B18" s="186" t="s">
        <v>177</v>
      </c>
      <c r="C18" s="186" t="s">
        <v>177</v>
      </c>
      <c r="D18" s="187">
        <v>100000</v>
      </c>
      <c r="E18" s="104"/>
    </row>
    <row r="19" spans="1:5" ht="15.6" x14ac:dyDescent="0.3">
      <c r="A19" s="236" t="s">
        <v>402</v>
      </c>
      <c r="B19" s="186" t="s">
        <v>177</v>
      </c>
      <c r="C19" s="186" t="s">
        <v>177</v>
      </c>
      <c r="D19" s="187">
        <v>100000</v>
      </c>
      <c r="E19" s="104"/>
    </row>
    <row r="20" spans="1:5" ht="15.6" x14ac:dyDescent="0.3">
      <c r="A20" s="236" t="s">
        <v>403</v>
      </c>
      <c r="B20" s="186" t="s">
        <v>177</v>
      </c>
      <c r="C20" s="186" t="s">
        <v>177</v>
      </c>
      <c r="D20" s="187">
        <v>100000</v>
      </c>
      <c r="E20" s="104"/>
    </row>
    <row r="21" spans="1:5" ht="15.6" x14ac:dyDescent="0.3">
      <c r="A21" s="236" t="s">
        <v>404</v>
      </c>
      <c r="B21" s="186" t="s">
        <v>177</v>
      </c>
      <c r="C21" s="186" t="s">
        <v>177</v>
      </c>
      <c r="D21" s="187">
        <v>100000</v>
      </c>
      <c r="E21" s="104"/>
    </row>
    <row r="22" spans="1:5" ht="15.6" x14ac:dyDescent="0.3">
      <c r="A22" s="236" t="s">
        <v>405</v>
      </c>
      <c r="B22" s="186" t="s">
        <v>177</v>
      </c>
      <c r="C22" s="186" t="s">
        <v>177</v>
      </c>
      <c r="D22" s="187">
        <v>100000</v>
      </c>
      <c r="E22" s="104"/>
    </row>
    <row r="23" spans="1:5" ht="15.6" x14ac:dyDescent="0.3">
      <c r="A23" s="236" t="s">
        <v>406</v>
      </c>
      <c r="B23" s="186" t="s">
        <v>177</v>
      </c>
      <c r="C23" s="186" t="s">
        <v>177</v>
      </c>
      <c r="D23" s="187">
        <v>100000</v>
      </c>
      <c r="E23" s="104"/>
    </row>
    <row r="24" spans="1:5" ht="15.6" x14ac:dyDescent="0.3">
      <c r="A24" s="236" t="s">
        <v>407</v>
      </c>
      <c r="B24" s="186" t="s">
        <v>177</v>
      </c>
      <c r="C24" s="186" t="s">
        <v>177</v>
      </c>
      <c r="D24" s="187">
        <v>100000</v>
      </c>
      <c r="E24" s="104"/>
    </row>
    <row r="25" spans="1:5" ht="15.6" x14ac:dyDescent="0.3">
      <c r="A25" s="236" t="s">
        <v>408</v>
      </c>
      <c r="B25" s="186" t="s">
        <v>177</v>
      </c>
      <c r="C25" s="186" t="s">
        <v>177</v>
      </c>
      <c r="D25" s="187">
        <v>100000</v>
      </c>
      <c r="E25" s="104"/>
    </row>
    <row r="26" spans="1:5" ht="15.6" x14ac:dyDescent="0.3">
      <c r="A26" s="236" t="s">
        <v>409</v>
      </c>
      <c r="B26" s="186" t="s">
        <v>177</v>
      </c>
      <c r="C26" s="186" t="s">
        <v>177</v>
      </c>
      <c r="D26" s="187">
        <v>100000</v>
      </c>
      <c r="E26" s="104"/>
    </row>
    <row r="27" spans="1:5" ht="15.6" x14ac:dyDescent="0.3">
      <c r="A27" s="236" t="s">
        <v>410</v>
      </c>
      <c r="B27" s="186">
        <v>1</v>
      </c>
      <c r="C27" s="186" t="s">
        <v>428</v>
      </c>
      <c r="D27" s="187">
        <v>100000</v>
      </c>
      <c r="E27" s="104"/>
    </row>
    <row r="28" spans="1:5" ht="15.6" x14ac:dyDescent="0.3">
      <c r="A28" s="236" t="s">
        <v>411</v>
      </c>
      <c r="B28" s="186" t="s">
        <v>177</v>
      </c>
      <c r="C28" s="186" t="s">
        <v>177</v>
      </c>
      <c r="D28" s="187">
        <v>100000</v>
      </c>
      <c r="E28" s="104"/>
    </row>
    <row r="29" spans="1:5" ht="15.6" x14ac:dyDescent="0.3">
      <c r="A29" s="236" t="s">
        <v>412</v>
      </c>
      <c r="B29" s="186" t="s">
        <v>177</v>
      </c>
      <c r="C29" s="186" t="s">
        <v>177</v>
      </c>
      <c r="D29" s="187">
        <v>100000</v>
      </c>
      <c r="E29" s="104"/>
    </row>
    <row r="30" spans="1:5" ht="15.6" x14ac:dyDescent="0.3">
      <c r="A30" s="236" t="s">
        <v>413</v>
      </c>
      <c r="B30" s="186" t="s">
        <v>177</v>
      </c>
      <c r="C30" s="186" t="s">
        <v>177</v>
      </c>
      <c r="D30" s="187">
        <v>100000</v>
      </c>
      <c r="E30" s="104"/>
    </row>
    <row r="31" spans="1:5" ht="15.6" x14ac:dyDescent="0.3">
      <c r="A31" s="236" t="s">
        <v>414</v>
      </c>
      <c r="B31" s="186" t="s">
        <v>177</v>
      </c>
      <c r="C31" s="186" t="s">
        <v>177</v>
      </c>
      <c r="D31" s="187">
        <v>100000</v>
      </c>
      <c r="E31" s="104"/>
    </row>
    <row r="32" spans="1:5" ht="15.6" x14ac:dyDescent="0.3">
      <c r="A32" s="236" t="s">
        <v>415</v>
      </c>
      <c r="B32" s="186" t="s">
        <v>177</v>
      </c>
      <c r="C32" s="186" t="s">
        <v>177</v>
      </c>
      <c r="D32" s="187">
        <v>100000</v>
      </c>
      <c r="E32" s="104"/>
    </row>
    <row r="33" spans="1:5" ht="15.6" x14ac:dyDescent="0.3">
      <c r="A33" s="236" t="s">
        <v>416</v>
      </c>
      <c r="B33" s="186">
        <v>1</v>
      </c>
      <c r="C33" s="186" t="s">
        <v>429</v>
      </c>
      <c r="D33" s="187">
        <v>100000</v>
      </c>
      <c r="E33" s="104"/>
    </row>
    <row r="34" spans="1:5" ht="15.6" x14ac:dyDescent="0.3">
      <c r="A34" s="236" t="s">
        <v>417</v>
      </c>
      <c r="B34" s="186" t="s">
        <v>177</v>
      </c>
      <c r="C34" s="186" t="s">
        <v>177</v>
      </c>
      <c r="D34" s="187">
        <v>100000</v>
      </c>
      <c r="E34" s="104"/>
    </row>
    <row r="35" spans="1:5" ht="15.6" x14ac:dyDescent="0.3">
      <c r="A35" s="236" t="s">
        <v>418</v>
      </c>
      <c r="B35" s="186" t="s">
        <v>177</v>
      </c>
      <c r="C35" s="186" t="s">
        <v>177</v>
      </c>
      <c r="D35" s="187">
        <v>100000</v>
      </c>
      <c r="E35" s="104"/>
    </row>
    <row r="36" spans="1:5" ht="15.6" x14ac:dyDescent="0.3">
      <c r="A36" s="236" t="s">
        <v>419</v>
      </c>
      <c r="B36" s="186" t="s">
        <v>177</v>
      </c>
      <c r="C36" s="186" t="s">
        <v>177</v>
      </c>
      <c r="D36" s="187">
        <v>100000</v>
      </c>
      <c r="E36" s="104"/>
    </row>
    <row r="37" spans="1:5" ht="15.6" x14ac:dyDescent="0.3">
      <c r="A37" s="236" t="s">
        <v>420</v>
      </c>
      <c r="B37" s="186" t="s">
        <v>177</v>
      </c>
      <c r="C37" s="186" t="s">
        <v>177</v>
      </c>
      <c r="D37" s="187">
        <v>100000</v>
      </c>
      <c r="E37" s="104"/>
    </row>
    <row r="38" spans="1:5" ht="15.6" x14ac:dyDescent="0.3">
      <c r="A38" s="236" t="s">
        <v>421</v>
      </c>
      <c r="B38" s="186" t="s">
        <v>177</v>
      </c>
      <c r="C38" s="186" t="s">
        <v>177</v>
      </c>
      <c r="D38" s="187">
        <v>100000</v>
      </c>
      <c r="E38" s="104"/>
    </row>
    <row r="39" spans="1:5" ht="15.6" x14ac:dyDescent="0.3">
      <c r="A39" s="105"/>
      <c r="B39" s="106"/>
      <c r="C39" s="106"/>
      <c r="D39" s="106"/>
      <c r="E39" s="104"/>
    </row>
    <row r="40" spans="1:5" ht="15.6" x14ac:dyDescent="0.3">
      <c r="A40" s="101"/>
      <c r="B40" s="101"/>
      <c r="C40" s="101"/>
      <c r="D40" s="101"/>
    </row>
    <row r="41" spans="1:5" ht="15.6" x14ac:dyDescent="0.3">
      <c r="A41" s="101"/>
      <c r="B41" s="101"/>
      <c r="C41" s="101"/>
      <c r="D41" s="101"/>
    </row>
    <row r="42" spans="1:5" ht="15.6" x14ac:dyDescent="0.3">
      <c r="B42" s="101"/>
      <c r="C42" s="101"/>
      <c r="D42" s="101"/>
    </row>
    <row r="43" spans="1:5" ht="18.600000000000001" x14ac:dyDescent="0.3">
      <c r="A43" s="107"/>
      <c r="B43" s="101"/>
      <c r="C43" s="101"/>
      <c r="D43" s="101"/>
    </row>
    <row r="44" spans="1:5" ht="15.6" x14ac:dyDescent="0.3">
      <c r="A44" s="101"/>
      <c r="B44" s="101"/>
      <c r="C44" s="101"/>
      <c r="D44" s="101"/>
    </row>
  </sheetData>
  <phoneticPr fontId="57" type="noConversion"/>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4"/>
  <sheetViews>
    <sheetView topLeftCell="A5" workbookViewId="0">
      <selection activeCell="B27" sqref="B27"/>
    </sheetView>
  </sheetViews>
  <sheetFormatPr defaultColWidth="13.33203125" defaultRowHeight="14.4" x14ac:dyDescent="0.3"/>
  <cols>
    <col min="1" max="1" width="36.44140625" style="92" bestFit="1" customWidth="1"/>
    <col min="2" max="2" width="12.33203125" style="92" customWidth="1"/>
    <col min="3" max="3" width="19.6640625" style="92" customWidth="1"/>
    <col min="4" max="4" width="19" style="92" customWidth="1"/>
    <col min="5" max="5" width="28.109375" style="92" customWidth="1"/>
    <col min="6" max="6" width="20.109375" style="92" customWidth="1"/>
    <col min="7" max="7" width="32.33203125" style="92" bestFit="1" customWidth="1"/>
    <col min="8" max="16384" width="13.33203125" style="92"/>
  </cols>
  <sheetData>
    <row r="1" spans="1:7" ht="21" x14ac:dyDescent="0.4">
      <c r="A1" s="189" t="s">
        <v>3</v>
      </c>
    </row>
    <row r="2" spans="1:7" ht="21" x14ac:dyDescent="0.4">
      <c r="A2" s="189" t="s">
        <v>372</v>
      </c>
    </row>
    <row r="3" spans="1:7" ht="21" x14ac:dyDescent="0.4">
      <c r="A3" s="189" t="s">
        <v>373</v>
      </c>
    </row>
    <row r="4" spans="1:7" ht="15.6" x14ac:dyDescent="0.35">
      <c r="G4" s="148" t="s">
        <v>396</v>
      </c>
    </row>
    <row r="5" spans="1:7" ht="16.2" thickBot="1" x14ac:dyDescent="0.4">
      <c r="A5" s="134" t="s">
        <v>25</v>
      </c>
      <c r="B5" s="88"/>
      <c r="C5" s="88" t="s">
        <v>126</v>
      </c>
      <c r="D5" s="88" t="s">
        <v>127</v>
      </c>
      <c r="E5" s="88" t="s">
        <v>128</v>
      </c>
      <c r="F5" s="88" t="s">
        <v>295</v>
      </c>
      <c r="G5" s="148" t="s">
        <v>395</v>
      </c>
    </row>
    <row r="6" spans="1:7" ht="15" thickTop="1" x14ac:dyDescent="0.3">
      <c r="A6" s="92" t="s">
        <v>293</v>
      </c>
      <c r="B6" s="92" t="s">
        <v>223</v>
      </c>
      <c r="C6" s="225">
        <v>9.9999999999999995E-7</v>
      </c>
      <c r="D6" s="225">
        <v>9.9999999999999995E-7</v>
      </c>
      <c r="E6" s="225">
        <v>9.9999999999999995E-7</v>
      </c>
      <c r="F6" s="225">
        <v>9.9999999999999995E-7</v>
      </c>
    </row>
    <row r="7" spans="1:7" x14ac:dyDescent="0.3">
      <c r="A7" s="132" t="s">
        <v>123</v>
      </c>
      <c r="B7" s="92" t="s">
        <v>130</v>
      </c>
      <c r="C7" s="162">
        <f>Risk_Calculations!C41</f>
        <v>250</v>
      </c>
      <c r="D7" s="128">
        <f>Risk_Calculations!D41</f>
        <v>350</v>
      </c>
      <c r="E7" s="128">
        <f>Risk_Calculations!F41</f>
        <v>250</v>
      </c>
      <c r="F7" s="163">
        <f>Risk_Calculations!G41</f>
        <v>350</v>
      </c>
      <c r="G7" s="229" t="s">
        <v>386</v>
      </c>
    </row>
    <row r="8" spans="1:7" ht="28.8" x14ac:dyDescent="0.3">
      <c r="A8" s="133" t="s">
        <v>382</v>
      </c>
      <c r="B8" s="92" t="s">
        <v>294</v>
      </c>
      <c r="C8" s="164">
        <f>Risk_Calculations!C46</f>
        <v>8</v>
      </c>
      <c r="D8" s="143">
        <f>Risk_Calculations!D46</f>
        <v>12</v>
      </c>
      <c r="E8" s="143">
        <f>Risk_Calculations!F46</f>
        <v>3.2</v>
      </c>
      <c r="F8" s="165">
        <f>Risk_Calculations!G46</f>
        <v>12</v>
      </c>
    </row>
    <row r="9" spans="1:7" ht="16.2" x14ac:dyDescent="0.3">
      <c r="A9" s="132" t="s">
        <v>368</v>
      </c>
      <c r="B9" s="92" t="s">
        <v>36</v>
      </c>
      <c r="C9" s="217">
        <f>'IUR calculation'!F13</f>
        <v>5.1170800140136665E-3</v>
      </c>
      <c r="D9" s="215">
        <f>'IUR calculation'!G13</f>
        <v>0.16080858373073018</v>
      </c>
      <c r="E9" s="216">
        <f>'IUR calculation'!H13</f>
        <v>7.3245424987960009E-2</v>
      </c>
      <c r="F9" s="215">
        <f>'IUR calculation'!J13</f>
        <v>0.16080858373073018</v>
      </c>
      <c r="G9" s="229" t="s">
        <v>383</v>
      </c>
    </row>
    <row r="10" spans="1:7" ht="16.2" x14ac:dyDescent="0.3">
      <c r="A10" s="132" t="s">
        <v>332</v>
      </c>
      <c r="B10" s="151" t="s">
        <v>378</v>
      </c>
      <c r="C10" s="118">
        <f>Risk_Calculations!C49</f>
        <v>4811889203.0615425</v>
      </c>
      <c r="D10" s="118">
        <f>Risk_Calculations!D49</f>
        <v>1500821711381.4917</v>
      </c>
      <c r="E10" s="118">
        <f>Risk_Calculations!F49</f>
        <v>1791431876385.6926</v>
      </c>
      <c r="F10" s="118">
        <f>Risk_Calculations!G49</f>
        <v>1791431876385.6926</v>
      </c>
      <c r="G10" s="166" t="s">
        <v>2</v>
      </c>
    </row>
    <row r="11" spans="1:7" ht="15.6" x14ac:dyDescent="0.35">
      <c r="A11" s="132" t="s">
        <v>393</v>
      </c>
      <c r="B11" s="132" t="s">
        <v>394</v>
      </c>
      <c r="C11" s="118">
        <f>(C6*C10) / (C9*(C8*C7/8760))</f>
        <v>4118769.8163191681</v>
      </c>
      <c r="D11" s="118">
        <f t="shared" ref="D11:F11" si="0">(D6*D10) / (D9*(D8*D7/8760))</f>
        <v>19465909.16427771</v>
      </c>
      <c r="E11" s="118">
        <f t="shared" si="0"/>
        <v>267814393.18084124</v>
      </c>
      <c r="F11" s="118">
        <f t="shared" si="0"/>
        <v>23235171.716443434</v>
      </c>
      <c r="G11" s="145" t="s">
        <v>302</v>
      </c>
    </row>
    <row r="12" spans="1:7" x14ac:dyDescent="0.3">
      <c r="A12" s="132"/>
      <c r="C12" s="118"/>
      <c r="D12" s="118"/>
      <c r="E12" s="118"/>
      <c r="F12" s="118"/>
    </row>
    <row r="13" spans="1:7" x14ac:dyDescent="0.3">
      <c r="A13" s="139" t="s">
        <v>299</v>
      </c>
      <c r="C13" s="118"/>
      <c r="D13" s="118"/>
      <c r="E13" s="118"/>
      <c r="F13" s="118"/>
    </row>
    <row r="14" spans="1:7" ht="15.6" x14ac:dyDescent="0.35">
      <c r="A14" s="132" t="s">
        <v>392</v>
      </c>
      <c r="B14" s="132" t="s">
        <v>423</v>
      </c>
      <c r="C14" s="118">
        <f>(C$11)/$B$31</f>
        <v>1374879.1414637531</v>
      </c>
      <c r="D14" s="118">
        <f t="shared" ref="D14:F14" si="1">(D$11)/$B$31</f>
        <v>6497880.1130263563</v>
      </c>
      <c r="E14" s="118">
        <f t="shared" si="1"/>
        <v>89398640.708009362</v>
      </c>
      <c r="F14" s="118">
        <f t="shared" si="1"/>
        <v>7756090.8635131</v>
      </c>
    </row>
    <row r="15" spans="1:7" x14ac:dyDescent="0.3">
      <c r="A15" s="142" t="s">
        <v>369</v>
      </c>
      <c r="B15" s="128"/>
      <c r="C15" s="144">
        <f>CEILING($A$27/C$14,1)</f>
        <v>1</v>
      </c>
      <c r="D15" s="144">
        <f t="shared" ref="D15:F15" si="2">CEILING($A$27/D$14,1)</f>
        <v>1</v>
      </c>
      <c r="E15" s="144">
        <f t="shared" si="2"/>
        <v>1</v>
      </c>
      <c r="F15" s="144">
        <f t="shared" si="2"/>
        <v>1</v>
      </c>
    </row>
    <row r="17" spans="1:7" x14ac:dyDescent="0.3">
      <c r="A17" s="139" t="s">
        <v>300</v>
      </c>
    </row>
    <row r="18" spans="1:7" ht="15.6" x14ac:dyDescent="0.35">
      <c r="A18" s="132" t="s">
        <v>392</v>
      </c>
      <c r="B18" s="132" t="s">
        <v>423</v>
      </c>
      <c r="C18" s="118">
        <f>(C$11)/$C$31</f>
        <v>868230.91181291104</v>
      </c>
      <c r="D18" s="118">
        <f t="shared" ref="D18:F18" si="3">(D$11)/$C$31</f>
        <v>4103386.4033877989</v>
      </c>
      <c r="E18" s="118">
        <f t="shared" si="3"/>
        <v>56454899.195076704</v>
      </c>
      <c r="F18" s="118">
        <f t="shared" si="3"/>
        <v>4897941.6731585506</v>
      </c>
    </row>
    <row r="19" spans="1:7" x14ac:dyDescent="0.3">
      <c r="A19" s="142" t="s">
        <v>369</v>
      </c>
      <c r="B19" s="128"/>
      <c r="C19" s="144">
        <f>CEILING($A$27/C18,1)</f>
        <v>1</v>
      </c>
      <c r="D19" s="144">
        <f>CEILING($A$27/D18,1)</f>
        <v>1</v>
      </c>
      <c r="E19" s="144">
        <f>CEILING($A$27/E18,1)</f>
        <v>1</v>
      </c>
      <c r="F19" s="144">
        <f>CEILING($A$27/F18,1)</f>
        <v>1</v>
      </c>
    </row>
    <row r="20" spans="1:7" x14ac:dyDescent="0.3">
      <c r="A20" s="132"/>
    </row>
    <row r="21" spans="1:7" x14ac:dyDescent="0.3">
      <c r="A21" s="139" t="s">
        <v>301</v>
      </c>
    </row>
    <row r="22" spans="1:7" ht="15.6" x14ac:dyDescent="0.35">
      <c r="A22" s="132" t="s">
        <v>392</v>
      </c>
      <c r="B22" s="132" t="s">
        <v>423</v>
      </c>
      <c r="C22" s="118">
        <f>(C$11)/$D$31</f>
        <v>654209.78889941669</v>
      </c>
      <c r="D22" s="118">
        <f t="shared" ref="D22:F22" si="4">(D$11)/$D$31</f>
        <v>3091891.2425356349</v>
      </c>
      <c r="E22" s="118">
        <f t="shared" si="4"/>
        <v>42538623.288164489</v>
      </c>
      <c r="F22" s="118">
        <f t="shared" si="4"/>
        <v>3690586.6221095566</v>
      </c>
    </row>
    <row r="23" spans="1:7" x14ac:dyDescent="0.3">
      <c r="A23" s="142" t="s">
        <v>369</v>
      </c>
      <c r="B23" s="128"/>
      <c r="C23" s="144">
        <f>CEILING($A$27/C22,1)</f>
        <v>1</v>
      </c>
      <c r="D23" s="144">
        <f>CEILING($A$27/D22,1)</f>
        <v>1</v>
      </c>
      <c r="E23" s="144">
        <f>CEILING($A$27/E22,1)</f>
        <v>1</v>
      </c>
      <c r="F23" s="144">
        <f>CEILING($A$27/F22,1)</f>
        <v>1</v>
      </c>
    </row>
    <row r="24" spans="1:7" x14ac:dyDescent="0.3">
      <c r="A24" s="132"/>
    </row>
    <row r="25" spans="1:7" x14ac:dyDescent="0.3">
      <c r="B25" s="118"/>
    </row>
    <row r="26" spans="1:7" x14ac:dyDescent="0.3">
      <c r="A26" s="170" t="s">
        <v>422</v>
      </c>
      <c r="B26" s="118"/>
    </row>
    <row r="27" spans="1:7" ht="15.6" x14ac:dyDescent="0.3">
      <c r="A27" s="171">
        <v>100000</v>
      </c>
      <c r="B27" s="231"/>
    </row>
    <row r="28" spans="1:7" x14ac:dyDescent="0.3">
      <c r="B28" s="118"/>
    </row>
    <row r="29" spans="1:7" x14ac:dyDescent="0.3">
      <c r="A29" s="92" t="s">
        <v>297</v>
      </c>
      <c r="B29" s="92">
        <v>0</v>
      </c>
      <c r="C29" s="92">
        <v>1</v>
      </c>
      <c r="D29" s="92">
        <v>2</v>
      </c>
      <c r="E29" s="92">
        <v>3</v>
      </c>
      <c r="F29" s="92">
        <v>4</v>
      </c>
      <c r="G29" s="92">
        <v>5</v>
      </c>
    </row>
    <row r="30" spans="1:7" x14ac:dyDescent="0.3">
      <c r="A30" s="92" t="s">
        <v>296</v>
      </c>
      <c r="B30" s="92">
        <v>0.05</v>
      </c>
      <c r="C30" s="92">
        <v>0.05</v>
      </c>
      <c r="D30" s="92">
        <v>0.05</v>
      </c>
      <c r="E30" s="92">
        <v>0.05</v>
      </c>
      <c r="F30" s="92">
        <v>0.05</v>
      </c>
      <c r="G30" s="92">
        <v>0.05</v>
      </c>
    </row>
    <row r="31" spans="1:7" x14ac:dyDescent="0.3">
      <c r="A31" s="92" t="s">
        <v>298</v>
      </c>
      <c r="B31" s="92">
        <f t="shared" ref="B31:G31" si="5">CHIINV(B$30,(B$29+1)*2)/2</f>
        <v>2.9957322735539909</v>
      </c>
      <c r="C31" s="92">
        <f t="shared" si="5"/>
        <v>4.7438645183905788</v>
      </c>
      <c r="D31" s="92">
        <f t="shared" si="5"/>
        <v>6.2957936218719892</v>
      </c>
      <c r="E31" s="92">
        <f t="shared" si="5"/>
        <v>7.7536565279327263</v>
      </c>
      <c r="F31" s="92">
        <f t="shared" si="5"/>
        <v>9.1535190266375732</v>
      </c>
      <c r="G31" s="92">
        <f t="shared" si="5"/>
        <v>10.513034908741533</v>
      </c>
    </row>
    <row r="33" spans="1:7" x14ac:dyDescent="0.3">
      <c r="A33" s="177" t="s">
        <v>19</v>
      </c>
      <c r="B33" s="145"/>
      <c r="C33" s="145"/>
      <c r="D33" s="145"/>
      <c r="E33" s="145"/>
      <c r="F33" s="145"/>
      <c r="G33" s="145"/>
    </row>
    <row r="34" spans="1:7" x14ac:dyDescent="0.3">
      <c r="A34" s="177" t="s">
        <v>18</v>
      </c>
      <c r="B34" s="145"/>
      <c r="C34" s="145"/>
      <c r="D34" s="145"/>
      <c r="E34" s="145"/>
      <c r="F34" s="145"/>
      <c r="G34" s="145"/>
    </row>
  </sheetData>
  <phoneticPr fontId="5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Risk_Calculations</vt:lpstr>
      <vt:lpstr>IUR calculation</vt:lpstr>
      <vt:lpstr>PEF Construction Scenario</vt:lpstr>
      <vt:lpstr>PEF Off-Site Resident</vt:lpstr>
      <vt:lpstr>PEF Onsite Resident</vt:lpstr>
      <vt:lpstr>PEF Comm-Indust Worker</vt:lpstr>
      <vt:lpstr>QC Equation Constants</vt:lpstr>
      <vt:lpstr>Data and Analytical Sensitivity</vt:lpstr>
      <vt:lpstr>BCL Asbestos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2024-02-02T01:55:42Z</dcterms:modified>
</cp:coreProperties>
</file>