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MRR\Webpage\2018_WebpagePDFs\"/>
    </mc:Choice>
  </mc:AlternateContent>
  <bookViews>
    <workbookView xWindow="45" yWindow="45" windowWidth="18810" windowHeight="9405" tabRatio="667"/>
  </bookViews>
  <sheets>
    <sheet name="EZ ECell" sheetId="13" r:id="rId1"/>
    <sheet name="E Cell Calculator" sheetId="2" r:id="rId2"/>
    <sheet name="Unit Costs" sheetId="12" r:id="rId3"/>
    <sheet name="Guide Notes" sheetId="5" r:id="rId4"/>
    <sheet name="Revision Notes" sheetId="6" state="hidden" r:id="rId5"/>
  </sheets>
  <definedNames>
    <definedName name="BackFilFltHrs">'E Cell Calculator'!$G$277</definedName>
    <definedName name="BackfillFleets">#REF!</definedName>
    <definedName name="CoverMaterials">#REF!</definedName>
    <definedName name="CoverPlacementFleets">#REF!</definedName>
    <definedName name="DblPipeCrewHrs">'E Cell Calculator'!$E$291</definedName>
    <definedName name="DblPipeInstCrewHrs">'E Cell Calculator'!$J$291</definedName>
    <definedName name="DitchExcavatorFleets">#REF!</definedName>
    <definedName name="DozerMaterial" comment="Dozer Productivity Material Correction Factors">'E Cell Calculator'!$E$623:$E$637</definedName>
    <definedName name="EquipmentOperatorClassificationsList">#REF!</definedName>
    <definedName name="FenceCrewHrs">'E Cell Calculator'!$E$320</definedName>
    <definedName name="Fertilizers">#REF!</definedName>
    <definedName name="GrowthMedFltHrs">'E Cell Calculator'!$G$337</definedName>
    <definedName name="incremental">'E Cell Calculator'!$S$33:$S$38</definedName>
    <definedName name="KeyTrchFltHrs">'E Cell Calculator'!$E$221</definedName>
    <definedName name="LinerTypes">#REF!</definedName>
    <definedName name="Mulches">#REF!</definedName>
    <definedName name="OneSix">'E Cell Calculator'!$R$33:$R$38</definedName>
    <definedName name="Pond_BackfillFleets">#REF!</definedName>
    <definedName name="PonExFltHrs">'E Cell Calculator'!$K$162</definedName>
    <definedName name="_xlnm.Print_Area" localSheetId="1">'E Cell Calculator'!$A$1:$P$338</definedName>
    <definedName name="_xlnm.Print_Area" localSheetId="0">'EZ ECell'!$B$1:$H$51</definedName>
    <definedName name="_xlnm.Print_Area" localSheetId="2">'Unit Costs'!$A$1:$L$111</definedName>
    <definedName name="_xlnm.Print_Titles" localSheetId="1">'E Cell Calculator'!$1:$28</definedName>
    <definedName name="Result1">'E Cell Calculator'!$A$131</definedName>
    <definedName name="Result10">'E Cell Calculator'!$A$277</definedName>
    <definedName name="Result11">'E Cell Calculator'!$A$291</definedName>
    <definedName name="Result12">'E Cell Calculator'!$A$320</definedName>
    <definedName name="Result13">'E Cell Calculator'!$A$337</definedName>
    <definedName name="Result2">'E Cell Calculator'!$A$146</definedName>
    <definedName name="Result3">'E Cell Calculator'!$A$162</definedName>
    <definedName name="Result4">'E Cell Calculator'!$A$177</definedName>
    <definedName name="Result5">'E Cell Calculator'!$A$192</definedName>
    <definedName name="Result6">'E Cell Calculator'!$A$207</definedName>
    <definedName name="Result7">'E Cell Calculator'!$A$220</definedName>
    <definedName name="Result8">'E Cell Calculator'!$A$235</definedName>
    <definedName name="Result9">'E Cell Calculator'!$A$249</definedName>
    <definedName name="RippingFleets">#REF!</definedName>
    <definedName name="SeedMixes">#REF!</definedName>
    <definedName name="SlopeRegradingFleets">#REF!</definedName>
    <definedName name="UserInput1">'E Cell Calculator'!$A$44</definedName>
    <definedName name="UserInput2">'E Cell Calculator'!$A$90</definedName>
    <definedName name="UserInput3">'E Cell Calculator'!$A$112</definedName>
    <definedName name="UserInput4">'E Cell Calculator'!#REF!</definedName>
    <definedName name="VacTruckFltHrs">'E Cell Calculator'!$F$131</definedName>
    <definedName name="Yes_No">#REF!</definedName>
  </definedNames>
  <calcPr calcId="162913"/>
</workbook>
</file>

<file path=xl/calcChain.xml><?xml version="1.0" encoding="utf-8"?>
<calcChain xmlns="http://schemas.openxmlformats.org/spreadsheetml/2006/main">
  <c r="J3" i="2" l="1"/>
  <c r="D19" i="13" l="1"/>
  <c r="J8" i="2" l="1"/>
  <c r="D107" i="2" l="1"/>
  <c r="D106" i="2"/>
  <c r="D105" i="2"/>
  <c r="D104" i="2"/>
  <c r="D103" i="2"/>
  <c r="C235" i="2"/>
  <c r="F107" i="2" l="1"/>
  <c r="F106" i="2"/>
  <c r="F105" i="2"/>
  <c r="F104" i="2"/>
  <c r="F103" i="2"/>
  <c r="F102" i="2"/>
  <c r="E104" i="2" l="1"/>
  <c r="E106" i="2"/>
  <c r="E103" i="2"/>
  <c r="E105" i="2"/>
  <c r="E107" i="2"/>
  <c r="F34" i="2"/>
  <c r="G71" i="12" l="1"/>
  <c r="K58" i="2" l="1"/>
  <c r="K63" i="2"/>
  <c r="K62" i="2"/>
  <c r="K61" i="2"/>
  <c r="K60" i="2"/>
  <c r="K59" i="2"/>
  <c r="G59" i="2"/>
  <c r="G58" i="2"/>
  <c r="G60" i="2"/>
  <c r="C6" i="13" l="1"/>
  <c r="J7" i="2" s="1"/>
  <c r="J5" i="2"/>
  <c r="J6" i="2"/>
  <c r="J4" i="2"/>
  <c r="N331" i="2" l="1"/>
  <c r="A299" i="2" l="1"/>
  <c r="A257" i="2"/>
  <c r="G107" i="2"/>
  <c r="G106" i="2"/>
  <c r="G105" i="2"/>
  <c r="G104" i="2"/>
  <c r="G103" i="2"/>
  <c r="G102" i="2"/>
  <c r="E85" i="2"/>
  <c r="E84" i="2"/>
  <c r="E83" i="2"/>
  <c r="E82" i="2"/>
  <c r="E81" i="2"/>
  <c r="E80" i="2"/>
  <c r="H107" i="2"/>
  <c r="H106" i="2"/>
  <c r="H105" i="2"/>
  <c r="H104" i="2"/>
  <c r="H103" i="2"/>
  <c r="H102" i="2"/>
  <c r="F85" i="2"/>
  <c r="C572" i="2" s="1"/>
  <c r="E572" i="2" s="1"/>
  <c r="F84" i="2"/>
  <c r="C571" i="2" s="1"/>
  <c r="D571" i="2" s="1"/>
  <c r="F83" i="2"/>
  <c r="C570" i="2" s="1"/>
  <c r="D570" i="2" s="1"/>
  <c r="F82" i="2"/>
  <c r="C569" i="2" s="1"/>
  <c r="D569" i="2" s="1"/>
  <c r="F81" i="2"/>
  <c r="F80" i="2"/>
  <c r="C567" i="2" s="1"/>
  <c r="D567" i="2" s="1"/>
  <c r="F63" i="2"/>
  <c r="F62" i="2"/>
  <c r="F61" i="2"/>
  <c r="F60" i="2"/>
  <c r="F59" i="2"/>
  <c r="F58" i="2"/>
  <c r="N34" i="2"/>
  <c r="C568" i="2"/>
  <c r="E568" i="2" s="1"/>
  <c r="D568" i="2"/>
  <c r="E567" i="2" l="1"/>
  <c r="E569" i="2"/>
  <c r="E570" i="2"/>
  <c r="E571" i="2"/>
  <c r="D572" i="2"/>
  <c r="C542" i="2"/>
  <c r="C331" i="2"/>
  <c r="N35" i="2" l="1"/>
  <c r="E542" i="2"/>
  <c r="D542" i="2"/>
  <c r="C543" i="2"/>
  <c r="E543" i="2" s="1"/>
  <c r="C544" i="2"/>
  <c r="E544" i="2" s="1"/>
  <c r="C545" i="2"/>
  <c r="E545" i="2" s="1"/>
  <c r="C546" i="2"/>
  <c r="E546" i="2" s="1"/>
  <c r="C547" i="2"/>
  <c r="E547" i="2" s="1"/>
  <c r="N36" i="2" l="1"/>
  <c r="D545" i="2"/>
  <c r="D547" i="2"/>
  <c r="D546" i="2"/>
  <c r="D544" i="2"/>
  <c r="D543" i="2"/>
  <c r="N37" i="2" l="1"/>
  <c r="N39" i="2" l="1"/>
  <c r="N38" i="2"/>
  <c r="B64" i="2"/>
  <c r="B65" i="2"/>
  <c r="B66" i="2"/>
  <c r="B67" i="2"/>
  <c r="A58" i="2"/>
  <c r="D103" i="12" l="1"/>
  <c r="D102" i="12"/>
  <c r="D101" i="12"/>
  <c r="D100" i="12"/>
  <c r="K35" i="12" l="1"/>
  <c r="F35" i="12" s="1"/>
  <c r="C35" i="12" s="1"/>
  <c r="K33" i="12" l="1"/>
  <c r="F33" i="12" s="1"/>
  <c r="C33" i="12" s="1"/>
  <c r="K29" i="12"/>
  <c r="K30" i="12"/>
  <c r="F30" i="12" s="1"/>
  <c r="C30" i="12" s="1"/>
  <c r="K52" i="12"/>
  <c r="F52" i="12" s="1"/>
  <c r="C52" i="12" s="1"/>
  <c r="K48" i="12"/>
  <c r="K44" i="12"/>
  <c r="F44" i="12" s="1"/>
  <c r="C44" i="12" s="1"/>
  <c r="K40" i="12"/>
  <c r="F40" i="12" s="1"/>
  <c r="C40" i="12" s="1"/>
  <c r="K38" i="12"/>
  <c r="F38" i="12" s="1"/>
  <c r="C38" i="12" s="1"/>
  <c r="K34" i="12"/>
  <c r="F34" i="12" s="1"/>
  <c r="C34" i="12" s="1"/>
  <c r="K49" i="12"/>
  <c r="F49" i="12" s="1"/>
  <c r="C49" i="12" s="1"/>
  <c r="K45" i="12"/>
  <c r="F45" i="12" s="1"/>
  <c r="C45" i="12" s="1"/>
  <c r="K43" i="12"/>
  <c r="F43" i="12" s="1"/>
  <c r="C43" i="12" s="1"/>
  <c r="K39" i="12"/>
  <c r="F39" i="12" s="1"/>
  <c r="C39" i="12" s="1"/>
  <c r="F48" i="12"/>
  <c r="C48" i="12" s="1"/>
  <c r="F29" i="12"/>
  <c r="C29" i="12" s="1"/>
  <c r="C23" i="12" l="1"/>
  <c r="H67" i="12" l="1"/>
  <c r="H70" i="12"/>
  <c r="H68" i="12"/>
  <c r="H69" i="12"/>
  <c r="H66" i="12"/>
  <c r="G39" i="2"/>
  <c r="G38" i="2"/>
  <c r="G37" i="2"/>
  <c r="G36" i="2"/>
  <c r="G35" i="2"/>
  <c r="H71" i="12" l="1"/>
  <c r="B35" i="2"/>
  <c r="D258" i="2" l="1"/>
  <c r="B258" i="2"/>
  <c r="B300" i="2"/>
  <c r="B59" i="2"/>
  <c r="B81" i="2"/>
  <c r="H81" i="2"/>
  <c r="H85" i="2"/>
  <c r="H84" i="2"/>
  <c r="H83" i="2"/>
  <c r="H82" i="2"/>
  <c r="G63" i="2"/>
  <c r="G62" i="2"/>
  <c r="G61" i="2"/>
  <c r="E63" i="2"/>
  <c r="B547" i="2" s="1"/>
  <c r="E62" i="2"/>
  <c r="B546" i="2" s="1"/>
  <c r="E61" i="2"/>
  <c r="B545" i="2" s="1"/>
  <c r="E60" i="2"/>
  <c r="B544" i="2" s="1"/>
  <c r="E59" i="2"/>
  <c r="B543" i="2" s="1"/>
  <c r="E58" i="2"/>
  <c r="B542" i="2" s="1"/>
  <c r="F39" i="2"/>
  <c r="K39" i="2" s="1"/>
  <c r="F38" i="2"/>
  <c r="K38" i="2" s="1"/>
  <c r="F37" i="2"/>
  <c r="K37" i="2" s="1"/>
  <c r="F36" i="2"/>
  <c r="K36" i="2" s="1"/>
  <c r="F35" i="2"/>
  <c r="K35" i="2" s="1"/>
  <c r="K34" i="2"/>
  <c r="E37" i="2"/>
  <c r="E39" i="2"/>
  <c r="J85" i="2" s="1"/>
  <c r="E38" i="2"/>
  <c r="J84" i="2" s="1"/>
  <c r="E36" i="2"/>
  <c r="E35" i="2"/>
  <c r="E34" i="2"/>
  <c r="B39" i="2"/>
  <c r="B38" i="2"/>
  <c r="B37" i="2"/>
  <c r="B36" i="2"/>
  <c r="B34" i="2"/>
  <c r="D39" i="2"/>
  <c r="D38" i="2"/>
  <c r="D37" i="2"/>
  <c r="D36" i="2"/>
  <c r="D35" i="2"/>
  <c r="D34" i="2"/>
  <c r="C186" i="2" s="1"/>
  <c r="D186" i="2" l="1"/>
  <c r="G186" i="2"/>
  <c r="E186" i="2"/>
  <c r="D335" i="2"/>
  <c r="C190" i="2"/>
  <c r="D334" i="2"/>
  <c r="C189" i="2"/>
  <c r="D333" i="2"/>
  <c r="C188" i="2"/>
  <c r="D332" i="2"/>
  <c r="C187" i="2"/>
  <c r="D336" i="2"/>
  <c r="C191" i="2"/>
  <c r="D314" i="2"/>
  <c r="C314" i="2"/>
  <c r="C316" i="2"/>
  <c r="C318" i="2"/>
  <c r="C317" i="2"/>
  <c r="C319" i="2"/>
  <c r="C315" i="2"/>
  <c r="D260" i="2"/>
  <c r="D262" i="2"/>
  <c r="D259" i="2"/>
  <c r="D261" i="2"/>
  <c r="B259" i="2"/>
  <c r="B301" i="2"/>
  <c r="B261" i="2"/>
  <c r="B303" i="2"/>
  <c r="B257" i="2"/>
  <c r="B299" i="2"/>
  <c r="B260" i="2"/>
  <c r="B302" i="2"/>
  <c r="B262" i="2"/>
  <c r="B304" i="2"/>
  <c r="B567" i="2"/>
  <c r="B569" i="2"/>
  <c r="B571" i="2"/>
  <c r="B568" i="2"/>
  <c r="B570" i="2"/>
  <c r="B572" i="2"/>
  <c r="B58" i="2"/>
  <c r="B61" i="2"/>
  <c r="B63" i="2"/>
  <c r="B60" i="2"/>
  <c r="B62" i="2"/>
  <c r="B108" i="2"/>
  <c r="B109" i="2"/>
  <c r="B110" i="2"/>
  <c r="B111" i="2"/>
  <c r="C192" i="2" l="1"/>
  <c r="G191" i="2"/>
  <c r="E191" i="2"/>
  <c r="D191" i="2"/>
  <c r="D188" i="2"/>
  <c r="G188" i="2"/>
  <c r="E188" i="2"/>
  <c r="D190" i="2"/>
  <c r="G190" i="2"/>
  <c r="E190" i="2"/>
  <c r="G187" i="2"/>
  <c r="E187" i="2"/>
  <c r="D187" i="2"/>
  <c r="G189" i="2"/>
  <c r="E189" i="2"/>
  <c r="D189" i="2"/>
  <c r="D192" i="2" s="1"/>
  <c r="C320" i="2"/>
  <c r="C8" i="12"/>
  <c r="C6" i="12"/>
  <c r="C5" i="12"/>
  <c r="C248" i="2"/>
  <c r="C247" i="2"/>
  <c r="C246" i="2"/>
  <c r="C245" i="2"/>
  <c r="C244" i="2"/>
  <c r="M335" i="2"/>
  <c r="L335" i="2"/>
  <c r="C10" i="12"/>
  <c r="C9" i="12"/>
  <c r="G192" i="2" l="1"/>
  <c r="E192" i="2"/>
  <c r="I75" i="12"/>
  <c r="H75" i="12"/>
  <c r="I78" i="12"/>
  <c r="H78" i="12"/>
  <c r="I81" i="12"/>
  <c r="H81" i="12"/>
  <c r="I73" i="12"/>
  <c r="H73" i="12"/>
  <c r="I77" i="12"/>
  <c r="H77" i="12"/>
  <c r="I79" i="12"/>
  <c r="H79" i="12"/>
  <c r="L336" i="2"/>
  <c r="M336" i="2"/>
  <c r="C290" i="2" l="1"/>
  <c r="C289" i="2"/>
  <c r="C288" i="2"/>
  <c r="C287" i="2"/>
  <c r="C286" i="2"/>
  <c r="D234" i="2"/>
  <c r="D233" i="2"/>
  <c r="D232" i="2"/>
  <c r="D231" i="2"/>
  <c r="D230" i="2"/>
  <c r="D257" i="2" l="1"/>
  <c r="D229" i="2"/>
  <c r="C285" i="2"/>
  <c r="H80" i="2"/>
  <c r="D331" i="2" s="1"/>
  <c r="B733" i="2"/>
  <c r="E733" i="2" s="1"/>
  <c r="B732" i="2"/>
  <c r="B731" i="2"/>
  <c r="E731" i="2" s="1"/>
  <c r="B730" i="2"/>
  <c r="B729" i="2"/>
  <c r="E729" i="2" s="1"/>
  <c r="E730" i="2" l="1"/>
  <c r="E732" i="2"/>
  <c r="C243" i="2"/>
  <c r="C249" i="2" s="1"/>
  <c r="C271" i="2"/>
  <c r="B728" i="2"/>
  <c r="E728" i="2" s="1"/>
  <c r="C156" i="2"/>
  <c r="C257" i="2" l="1"/>
  <c r="H156" i="2"/>
  <c r="J83" i="2" l="1"/>
  <c r="J82" i="2"/>
  <c r="J81" i="2"/>
  <c r="J80" i="2"/>
  <c r="D271" i="2"/>
  <c r="S554" i="2" l="1"/>
  <c r="E554" i="2"/>
  <c r="T554" i="2"/>
  <c r="P554" i="2"/>
  <c r="D554" i="2"/>
  <c r="Q554" i="2"/>
  <c r="C554" i="2"/>
  <c r="R554" i="2"/>
  <c r="F554" i="2"/>
  <c r="B554" i="2"/>
  <c r="M542" i="2"/>
  <c r="L542" i="2"/>
  <c r="K542" i="2"/>
  <c r="AA554" i="2"/>
  <c r="Z554" i="2"/>
  <c r="Y554" i="2"/>
  <c r="X554" i="2"/>
  <c r="W554" i="2"/>
  <c r="V554" i="2"/>
  <c r="H542" i="2" s="1"/>
  <c r="N554" i="2"/>
  <c r="L554" i="2"/>
  <c r="M554" i="2"/>
  <c r="K554" i="2"/>
  <c r="J554" i="2"/>
  <c r="I554" i="2"/>
  <c r="H554" i="2"/>
  <c r="L332" i="2"/>
  <c r="M332" i="2"/>
  <c r="L334" i="2"/>
  <c r="M334" i="2"/>
  <c r="M333" i="2"/>
  <c r="L333" i="2"/>
  <c r="M331" i="2"/>
  <c r="L331" i="2"/>
  <c r="D319" i="2"/>
  <c r="D318" i="2"/>
  <c r="D317" i="2"/>
  <c r="D316" i="2"/>
  <c r="D315" i="2"/>
  <c r="D248" i="2"/>
  <c r="D247" i="2"/>
  <c r="D246" i="2"/>
  <c r="D245" i="2"/>
  <c r="D244" i="2"/>
  <c r="D243" i="2"/>
  <c r="E234" i="2"/>
  <c r="E233" i="2"/>
  <c r="C206" i="2"/>
  <c r="C205" i="2"/>
  <c r="C204" i="2"/>
  <c r="C203" i="2"/>
  <c r="C202" i="2"/>
  <c r="C201" i="2"/>
  <c r="B747" i="2"/>
  <c r="J747" i="2" s="1"/>
  <c r="B746" i="2"/>
  <c r="J746" i="2" s="1"/>
  <c r="B745" i="2"/>
  <c r="J745" i="2" s="1"/>
  <c r="B744" i="2"/>
  <c r="J744" i="2" s="1"/>
  <c r="B743" i="2"/>
  <c r="J743" i="2" s="1"/>
  <c r="B742" i="2"/>
  <c r="J742" i="2" s="1"/>
  <c r="J740" i="2"/>
  <c r="J739" i="2"/>
  <c r="J738" i="2"/>
  <c r="J737" i="2"/>
  <c r="J736" i="2"/>
  <c r="J735" i="2"/>
  <c r="C207" i="2" l="1"/>
  <c r="G542" i="2"/>
  <c r="I542" i="2"/>
  <c r="F542" i="2"/>
  <c r="J542" i="2" l="1"/>
  <c r="N542" i="2" s="1"/>
  <c r="E271" i="2" s="1"/>
  <c r="F271" i="2" s="1"/>
  <c r="G271" i="2" s="1"/>
  <c r="B719" i="2"/>
  <c r="B718" i="2"/>
  <c r="B717" i="2"/>
  <c r="B716" i="2"/>
  <c r="B715" i="2"/>
  <c r="B726" i="2"/>
  <c r="B725" i="2"/>
  <c r="B740" i="2"/>
  <c r="B739" i="2"/>
  <c r="B738" i="2"/>
  <c r="B737" i="2"/>
  <c r="B736" i="2"/>
  <c r="B735" i="2"/>
  <c r="B721" i="2"/>
  <c r="B714" i="2"/>
  <c r="B712" i="2"/>
  <c r="B711" i="2"/>
  <c r="B707" i="2"/>
  <c r="D275" i="2"/>
  <c r="D276" i="2"/>
  <c r="O542" i="2" l="1"/>
  <c r="Q558" i="2"/>
  <c r="G546" i="2" s="1"/>
  <c r="C558" i="2"/>
  <c r="F546" i="2" s="1"/>
  <c r="P558" i="2"/>
  <c r="T558" i="2"/>
  <c r="D558" i="2"/>
  <c r="S558" i="2"/>
  <c r="E558" i="2"/>
  <c r="R558" i="2"/>
  <c r="B558" i="2"/>
  <c r="F558" i="2"/>
  <c r="P559" i="2"/>
  <c r="T559" i="2"/>
  <c r="D559" i="2"/>
  <c r="Q559" i="2"/>
  <c r="C559" i="2"/>
  <c r="R559" i="2"/>
  <c r="B559" i="2"/>
  <c r="F559" i="2"/>
  <c r="S559" i="2"/>
  <c r="E559" i="2"/>
  <c r="K546" i="2"/>
  <c r="L546" i="2"/>
  <c r="M546" i="2"/>
  <c r="L547" i="2"/>
  <c r="M547" i="2"/>
  <c r="K547" i="2"/>
  <c r="P542" i="2"/>
  <c r="Z559" i="2"/>
  <c r="X559" i="2"/>
  <c r="V559" i="2"/>
  <c r="AA559" i="2"/>
  <c r="Y559" i="2"/>
  <c r="W559" i="2"/>
  <c r="AA558" i="2"/>
  <c r="Z558" i="2"/>
  <c r="Y558" i="2"/>
  <c r="X558" i="2"/>
  <c r="W558" i="2"/>
  <c r="V558" i="2"/>
  <c r="L559" i="2"/>
  <c r="N559" i="2"/>
  <c r="I559" i="2"/>
  <c r="K559" i="2"/>
  <c r="M559" i="2"/>
  <c r="J559" i="2"/>
  <c r="H559" i="2"/>
  <c r="K558" i="2"/>
  <c r="M558" i="2"/>
  <c r="J558" i="2"/>
  <c r="I558" i="2"/>
  <c r="H558" i="2"/>
  <c r="L558" i="2"/>
  <c r="N558" i="2"/>
  <c r="G547" i="2"/>
  <c r="F547" i="2"/>
  <c r="C712" i="2"/>
  <c r="H712" i="2"/>
  <c r="F712" i="2"/>
  <c r="E712" i="2"/>
  <c r="D712" i="2"/>
  <c r="I738" i="2"/>
  <c r="E738" i="2"/>
  <c r="I740" i="2"/>
  <c r="E740" i="2"/>
  <c r="E726" i="2"/>
  <c r="D726" i="2"/>
  <c r="C726" i="2"/>
  <c r="D716" i="2"/>
  <c r="D718" i="2"/>
  <c r="C711" i="2"/>
  <c r="H711" i="2"/>
  <c r="F711" i="2"/>
  <c r="E711" i="2"/>
  <c r="D711" i="2"/>
  <c r="I737" i="2"/>
  <c r="E737" i="2"/>
  <c r="I739" i="2"/>
  <c r="E739" i="2"/>
  <c r="E725" i="2"/>
  <c r="D725" i="2"/>
  <c r="C725" i="2"/>
  <c r="D717" i="2"/>
  <c r="D719" i="2"/>
  <c r="D715" i="2"/>
  <c r="I736" i="2"/>
  <c r="E736" i="2"/>
  <c r="D714" i="2"/>
  <c r="I735" i="2"/>
  <c r="E735" i="2"/>
  <c r="C707" i="2"/>
  <c r="F707" i="2"/>
  <c r="H707" i="2"/>
  <c r="E721" i="2"/>
  <c r="D721" i="2"/>
  <c r="C721" i="2"/>
  <c r="E707" i="2"/>
  <c r="D707" i="2"/>
  <c r="B722" i="2"/>
  <c r="B724" i="2"/>
  <c r="B723" i="2"/>
  <c r="H547" i="2" l="1"/>
  <c r="Q542" i="2"/>
  <c r="R542" i="2" s="1"/>
  <c r="I546" i="2"/>
  <c r="H546" i="2"/>
  <c r="I547" i="2"/>
  <c r="J547" i="2" s="1"/>
  <c r="N547" i="2" s="1"/>
  <c r="E724" i="2"/>
  <c r="D724" i="2"/>
  <c r="C724" i="2"/>
  <c r="E723" i="2"/>
  <c r="D723" i="2"/>
  <c r="C723" i="2"/>
  <c r="E722" i="2"/>
  <c r="C722" i="2"/>
  <c r="D722" i="2"/>
  <c r="J546" i="2" l="1"/>
  <c r="N546" i="2" s="1"/>
  <c r="E275" i="2" s="1"/>
  <c r="F275" i="2" s="1"/>
  <c r="P547" i="2"/>
  <c r="E276" i="2"/>
  <c r="F276" i="2" s="1"/>
  <c r="O547" i="2"/>
  <c r="Q547" i="2" s="1"/>
  <c r="O546" i="2" l="1"/>
  <c r="P546" i="2"/>
  <c r="H271" i="2"/>
  <c r="I271" i="2"/>
  <c r="C656" i="2"/>
  <c r="N635" i="2"/>
  <c r="M636" i="2"/>
  <c r="L636" i="2"/>
  <c r="K636" i="2"/>
  <c r="J635" i="2"/>
  <c r="I636" i="2"/>
  <c r="K617" i="2"/>
  <c r="I617" i="2"/>
  <c r="K616" i="2"/>
  <c r="I616" i="2"/>
  <c r="K615" i="2"/>
  <c r="I615" i="2"/>
  <c r="D615" i="2"/>
  <c r="C615" i="2"/>
  <c r="K614" i="2"/>
  <c r="I614" i="2"/>
  <c r="K613" i="2"/>
  <c r="I613" i="2"/>
  <c r="K612" i="2"/>
  <c r="I612" i="2"/>
  <c r="K611" i="2"/>
  <c r="I611" i="2"/>
  <c r="D611" i="2"/>
  <c r="C611" i="2"/>
  <c r="K610" i="2"/>
  <c r="I610" i="2"/>
  <c r="K609" i="2"/>
  <c r="I609" i="2"/>
  <c r="K608" i="2"/>
  <c r="I608" i="2"/>
  <c r="K607" i="2"/>
  <c r="I607" i="2"/>
  <c r="K606" i="2"/>
  <c r="I606" i="2"/>
  <c r="K605" i="2"/>
  <c r="I605" i="2"/>
  <c r="E592" i="2"/>
  <c r="D592" i="2"/>
  <c r="G461" i="2"/>
  <c r="A444" i="2"/>
  <c r="G441" i="2"/>
  <c r="A424" i="2"/>
  <c r="G421" i="2"/>
  <c r="A404" i="2"/>
  <c r="G400" i="2"/>
  <c r="A383" i="2"/>
  <c r="G380" i="2"/>
  <c r="A363" i="2"/>
  <c r="G360" i="2"/>
  <c r="A343" i="2"/>
  <c r="K336" i="2"/>
  <c r="C336" i="2"/>
  <c r="B336" i="2"/>
  <c r="K335" i="2"/>
  <c r="C335" i="2"/>
  <c r="B335" i="2"/>
  <c r="K334" i="2"/>
  <c r="C334" i="2"/>
  <c r="B334" i="2"/>
  <c r="K333" i="2"/>
  <c r="C333" i="2"/>
  <c r="B333" i="2"/>
  <c r="K332" i="2"/>
  <c r="C332" i="2"/>
  <c r="B332" i="2"/>
  <c r="K331" i="2"/>
  <c r="B331" i="2"/>
  <c r="A331" i="2"/>
  <c r="E319" i="2"/>
  <c r="B319" i="2"/>
  <c r="E318" i="2"/>
  <c r="B318" i="2"/>
  <c r="B317" i="2"/>
  <c r="B316" i="2"/>
  <c r="B315" i="2"/>
  <c r="B314" i="2"/>
  <c r="A314" i="2"/>
  <c r="B290" i="2"/>
  <c r="B289" i="2"/>
  <c r="B288" i="2"/>
  <c r="B287" i="2"/>
  <c r="B286" i="2"/>
  <c r="B285" i="2"/>
  <c r="A285" i="2"/>
  <c r="C276" i="2"/>
  <c r="C262" i="2" s="1"/>
  <c r="B276" i="2"/>
  <c r="C275" i="2"/>
  <c r="B275" i="2"/>
  <c r="C274" i="2"/>
  <c r="C260" i="2" s="1"/>
  <c r="B274" i="2"/>
  <c r="C273" i="2"/>
  <c r="C259" i="2" s="1"/>
  <c r="B273" i="2"/>
  <c r="C272" i="2"/>
  <c r="B272" i="2"/>
  <c r="B271" i="2"/>
  <c r="A271" i="2"/>
  <c r="E248" i="2"/>
  <c r="B248" i="2"/>
  <c r="E247" i="2"/>
  <c r="B247" i="2"/>
  <c r="B246" i="2"/>
  <c r="B245" i="2"/>
  <c r="B244" i="2"/>
  <c r="B243" i="2"/>
  <c r="A243" i="2"/>
  <c r="B234" i="2"/>
  <c r="B233" i="2"/>
  <c r="B232" i="2"/>
  <c r="B231" i="2"/>
  <c r="B230" i="2"/>
  <c r="B229" i="2"/>
  <c r="A229" i="2"/>
  <c r="C220" i="2"/>
  <c r="B220" i="2"/>
  <c r="C219" i="2"/>
  <c r="B219" i="2"/>
  <c r="C218" i="2"/>
  <c r="D218" i="2" s="1"/>
  <c r="B218" i="2"/>
  <c r="C217" i="2"/>
  <c r="D217" i="2" s="1"/>
  <c r="B217" i="2"/>
  <c r="C216" i="2"/>
  <c r="D216" i="2" s="1"/>
  <c r="B216" i="2"/>
  <c r="C215" i="2"/>
  <c r="B215" i="2"/>
  <c r="A215" i="2"/>
  <c r="B206" i="2"/>
  <c r="B205" i="2"/>
  <c r="B204" i="2"/>
  <c r="B203" i="2"/>
  <c r="B202" i="2"/>
  <c r="B201" i="2"/>
  <c r="A201" i="2"/>
  <c r="B191" i="2"/>
  <c r="B190" i="2"/>
  <c r="B189" i="2"/>
  <c r="B188" i="2"/>
  <c r="B187" i="2"/>
  <c r="B186" i="2"/>
  <c r="A186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A171" i="2"/>
  <c r="C161" i="2"/>
  <c r="B161" i="2"/>
  <c r="C160" i="2"/>
  <c r="B160" i="2"/>
  <c r="C159" i="2"/>
  <c r="B159" i="2"/>
  <c r="C158" i="2"/>
  <c r="B158" i="2"/>
  <c r="C157" i="2"/>
  <c r="B157" i="2"/>
  <c r="B156" i="2"/>
  <c r="D156" i="2" s="1"/>
  <c r="E156" i="2" s="1"/>
  <c r="A156" i="2"/>
  <c r="C145" i="2"/>
  <c r="D145" i="2" s="1"/>
  <c r="E145" i="2" s="1"/>
  <c r="B145" i="2"/>
  <c r="C144" i="2"/>
  <c r="D144" i="2" s="1"/>
  <c r="E144" i="2" s="1"/>
  <c r="B144" i="2"/>
  <c r="C143" i="2"/>
  <c r="B143" i="2"/>
  <c r="C142" i="2"/>
  <c r="B142" i="2"/>
  <c r="C141" i="2"/>
  <c r="D141" i="2" s="1"/>
  <c r="B141" i="2"/>
  <c r="C140" i="2"/>
  <c r="B140" i="2"/>
  <c r="A140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A125" i="2"/>
  <c r="B107" i="2"/>
  <c r="B106" i="2"/>
  <c r="B105" i="2"/>
  <c r="B104" i="2"/>
  <c r="B103" i="2"/>
  <c r="B102" i="2"/>
  <c r="A102" i="2"/>
  <c r="B85" i="2"/>
  <c r="B84" i="2"/>
  <c r="B83" i="2"/>
  <c r="B82" i="2"/>
  <c r="B80" i="2"/>
  <c r="A80" i="2"/>
  <c r="A35" i="2"/>
  <c r="C7" i="12"/>
  <c r="C337" i="2" l="1"/>
  <c r="C177" i="2"/>
  <c r="C162" i="2"/>
  <c r="E125" i="2"/>
  <c r="F125" i="2"/>
  <c r="D125" i="2"/>
  <c r="F126" i="2"/>
  <c r="G126" i="2" s="1"/>
  <c r="F127" i="2"/>
  <c r="F128" i="2"/>
  <c r="F129" i="2"/>
  <c r="F130" i="2"/>
  <c r="C258" i="2"/>
  <c r="C277" i="2"/>
  <c r="D215" i="2"/>
  <c r="C221" i="2"/>
  <c r="E130" i="2"/>
  <c r="D130" i="2" s="1"/>
  <c r="E129" i="2"/>
  <c r="D129" i="2" s="1"/>
  <c r="E128" i="2"/>
  <c r="D128" i="2" s="1"/>
  <c r="E127" i="2"/>
  <c r="D127" i="2" s="1"/>
  <c r="E126" i="2"/>
  <c r="D126" i="2" s="1"/>
  <c r="E176" i="2"/>
  <c r="D176" i="2"/>
  <c r="G176" i="2"/>
  <c r="G175" i="2"/>
  <c r="E175" i="2"/>
  <c r="D175" i="2"/>
  <c r="G171" i="2"/>
  <c r="E171" i="2"/>
  <c r="D171" i="2"/>
  <c r="E174" i="2"/>
  <c r="G174" i="2"/>
  <c r="D174" i="2"/>
  <c r="E173" i="2"/>
  <c r="G173" i="2"/>
  <c r="D173" i="2"/>
  <c r="G172" i="2"/>
  <c r="D172" i="2"/>
  <c r="E172" i="2"/>
  <c r="Q546" i="2"/>
  <c r="R546" i="2" s="1"/>
  <c r="G276" i="2"/>
  <c r="C261" i="2"/>
  <c r="G275" i="2"/>
  <c r="A258" i="2"/>
  <c r="A300" i="2"/>
  <c r="S579" i="2"/>
  <c r="E579" i="2"/>
  <c r="T579" i="2"/>
  <c r="P579" i="2"/>
  <c r="D579" i="2"/>
  <c r="Q579" i="2"/>
  <c r="G567" i="2" s="1"/>
  <c r="C579" i="2"/>
  <c r="R579" i="2"/>
  <c r="F579" i="2"/>
  <c r="B579" i="2"/>
  <c r="P580" i="2"/>
  <c r="T580" i="2"/>
  <c r="D580" i="2"/>
  <c r="Q580" i="2"/>
  <c r="G568" i="2" s="1"/>
  <c r="C580" i="2"/>
  <c r="R580" i="2"/>
  <c r="B580" i="2"/>
  <c r="F580" i="2"/>
  <c r="S580" i="2"/>
  <c r="E580" i="2"/>
  <c r="Q581" i="2"/>
  <c r="C581" i="2"/>
  <c r="F569" i="2" s="1"/>
  <c r="P581" i="2"/>
  <c r="T581" i="2"/>
  <c r="D581" i="2"/>
  <c r="S581" i="2"/>
  <c r="E581" i="2"/>
  <c r="R581" i="2"/>
  <c r="B581" i="2"/>
  <c r="F581" i="2"/>
  <c r="P582" i="2"/>
  <c r="T582" i="2"/>
  <c r="D582" i="2"/>
  <c r="Q582" i="2"/>
  <c r="G570" i="2" s="1"/>
  <c r="C582" i="2"/>
  <c r="F570" i="2" s="1"/>
  <c r="R582" i="2"/>
  <c r="B582" i="2"/>
  <c r="F582" i="2"/>
  <c r="S582" i="2"/>
  <c r="E582" i="2"/>
  <c r="Q583" i="2"/>
  <c r="G571" i="2" s="1"/>
  <c r="C583" i="2"/>
  <c r="F571" i="2" s="1"/>
  <c r="P583" i="2"/>
  <c r="T583" i="2"/>
  <c r="D583" i="2"/>
  <c r="S583" i="2"/>
  <c r="E583" i="2"/>
  <c r="R583" i="2"/>
  <c r="B583" i="2"/>
  <c r="F583" i="2"/>
  <c r="P584" i="2"/>
  <c r="T584" i="2"/>
  <c r="D584" i="2"/>
  <c r="Q584" i="2"/>
  <c r="G572" i="2" s="1"/>
  <c r="C584" i="2"/>
  <c r="R584" i="2"/>
  <c r="B584" i="2"/>
  <c r="F584" i="2"/>
  <c r="S584" i="2"/>
  <c r="E584" i="2"/>
  <c r="K567" i="2"/>
  <c r="L567" i="2"/>
  <c r="M567" i="2"/>
  <c r="L568" i="2"/>
  <c r="M568" i="2"/>
  <c r="K568" i="2"/>
  <c r="K569" i="2"/>
  <c r="L569" i="2"/>
  <c r="M569" i="2"/>
  <c r="L570" i="2"/>
  <c r="M570" i="2"/>
  <c r="K570" i="2"/>
  <c r="K571" i="2"/>
  <c r="L571" i="2"/>
  <c r="M571" i="2"/>
  <c r="L572" i="2"/>
  <c r="M572" i="2"/>
  <c r="K572" i="2"/>
  <c r="Y579" i="2"/>
  <c r="H579" i="2"/>
  <c r="M579" i="2"/>
  <c r="W579" i="2"/>
  <c r="N579" i="2"/>
  <c r="X579" i="2"/>
  <c r="Z579" i="2"/>
  <c r="K579" i="2"/>
  <c r="F567" i="2"/>
  <c r="L579" i="2"/>
  <c r="V579" i="2"/>
  <c r="I579" i="2"/>
  <c r="AA579" i="2"/>
  <c r="J579" i="2"/>
  <c r="V580" i="2"/>
  <c r="L580" i="2"/>
  <c r="F568" i="2"/>
  <c r="X580" i="2"/>
  <c r="N580" i="2"/>
  <c r="M580" i="2"/>
  <c r="Y580" i="2"/>
  <c r="K580" i="2"/>
  <c r="Z580" i="2"/>
  <c r="H580" i="2"/>
  <c r="I580" i="2"/>
  <c r="AA580" i="2"/>
  <c r="J580" i="2"/>
  <c r="I568" i="2" s="1"/>
  <c r="W580" i="2"/>
  <c r="W581" i="2"/>
  <c r="M581" i="2"/>
  <c r="Y581" i="2"/>
  <c r="N581" i="2"/>
  <c r="X581" i="2"/>
  <c r="H581" i="2"/>
  <c r="G569" i="2"/>
  <c r="AA581" i="2"/>
  <c r="I581" i="2"/>
  <c r="Z581" i="2"/>
  <c r="K581" i="2"/>
  <c r="J581" i="2"/>
  <c r="L581" i="2"/>
  <c r="V581" i="2"/>
  <c r="Y582" i="2"/>
  <c r="AA582" i="2"/>
  <c r="I582" i="2"/>
  <c r="Z582" i="2"/>
  <c r="J582" i="2"/>
  <c r="L582" i="2"/>
  <c r="V582" i="2"/>
  <c r="K582" i="2"/>
  <c r="W582" i="2"/>
  <c r="M582" i="2"/>
  <c r="N582" i="2"/>
  <c r="X582" i="2"/>
  <c r="H582" i="2"/>
  <c r="AA583" i="2"/>
  <c r="I583" i="2"/>
  <c r="Z583" i="2"/>
  <c r="K583" i="2"/>
  <c r="J583" i="2"/>
  <c r="L583" i="2"/>
  <c r="V583" i="2"/>
  <c r="W583" i="2"/>
  <c r="M583" i="2"/>
  <c r="Y583" i="2"/>
  <c r="N583" i="2"/>
  <c r="X583" i="2"/>
  <c r="H583" i="2"/>
  <c r="F572" i="2"/>
  <c r="L584" i="2"/>
  <c r="V584" i="2"/>
  <c r="M584" i="2"/>
  <c r="W584" i="2"/>
  <c r="J584" i="2"/>
  <c r="K584" i="2"/>
  <c r="AA584" i="2"/>
  <c r="H584" i="2"/>
  <c r="Z584" i="2"/>
  <c r="I584" i="2"/>
  <c r="N584" i="2"/>
  <c r="X584" i="2"/>
  <c r="Y584" i="2"/>
  <c r="R547" i="2"/>
  <c r="F258" i="2"/>
  <c r="G258" i="2" s="1"/>
  <c r="E258" i="2"/>
  <c r="H258" i="2"/>
  <c r="F259" i="2"/>
  <c r="G259" i="2" s="1"/>
  <c r="E259" i="2"/>
  <c r="H259" i="2"/>
  <c r="E260" i="2"/>
  <c r="F260" i="2"/>
  <c r="H260" i="2" s="1"/>
  <c r="E261" i="2"/>
  <c r="F261" i="2"/>
  <c r="H261" i="2" s="1"/>
  <c r="F262" i="2"/>
  <c r="G262" i="2" s="1"/>
  <c r="E262" i="2"/>
  <c r="H262" i="2"/>
  <c r="F257" i="2"/>
  <c r="E257" i="2"/>
  <c r="A141" i="2"/>
  <c r="A59" i="2"/>
  <c r="C146" i="2"/>
  <c r="D161" i="2"/>
  <c r="E161" i="2" s="1"/>
  <c r="D160" i="2"/>
  <c r="E160" i="2" s="1"/>
  <c r="D159" i="2"/>
  <c r="E159" i="2" s="1"/>
  <c r="D158" i="2"/>
  <c r="E158" i="2" s="1"/>
  <c r="D157" i="2"/>
  <c r="E157" i="2" s="1"/>
  <c r="N335" i="2"/>
  <c r="E441" i="2" s="1"/>
  <c r="N336" i="2"/>
  <c r="E461" i="2" s="1"/>
  <c r="D140" i="2"/>
  <c r="H161" i="2"/>
  <c r="I286" i="2"/>
  <c r="J286" i="2" s="1"/>
  <c r="I288" i="2"/>
  <c r="J288" i="2" s="1"/>
  <c r="I290" i="2"/>
  <c r="M290" i="2"/>
  <c r="E304" i="2" s="1"/>
  <c r="E457" i="2" s="1"/>
  <c r="D285" i="2"/>
  <c r="I285" i="2"/>
  <c r="J285" i="2" s="1"/>
  <c r="I287" i="2"/>
  <c r="J287" i="2" s="1"/>
  <c r="M289" i="2"/>
  <c r="E303" i="2" s="1"/>
  <c r="E437" i="2" s="1"/>
  <c r="I289" i="2"/>
  <c r="E410" i="2"/>
  <c r="C410" i="2"/>
  <c r="G141" i="2"/>
  <c r="E366" i="2" s="1"/>
  <c r="H157" i="2"/>
  <c r="H159" i="2"/>
  <c r="B708" i="2"/>
  <c r="I156" i="2"/>
  <c r="D219" i="2"/>
  <c r="E243" i="2"/>
  <c r="K337" i="2"/>
  <c r="D272" i="2"/>
  <c r="I157" i="2"/>
  <c r="C131" i="2"/>
  <c r="I161" i="2"/>
  <c r="D286" i="2"/>
  <c r="C427" i="2"/>
  <c r="G157" i="2"/>
  <c r="I159" i="2"/>
  <c r="G161" i="2"/>
  <c r="C291" i="2"/>
  <c r="D289" i="2"/>
  <c r="E314" i="2"/>
  <c r="E316" i="2"/>
  <c r="G159" i="2"/>
  <c r="D235" i="2"/>
  <c r="F156" i="2"/>
  <c r="G156" i="2"/>
  <c r="I158" i="2"/>
  <c r="G158" i="2"/>
  <c r="H158" i="2"/>
  <c r="I160" i="2"/>
  <c r="G160" i="2"/>
  <c r="H160" i="2"/>
  <c r="A332" i="2"/>
  <c r="A230" i="2"/>
  <c r="A216" i="2"/>
  <c r="A315" i="2"/>
  <c r="A286" i="2"/>
  <c r="A272" i="2"/>
  <c r="A244" i="2"/>
  <c r="A172" i="2"/>
  <c r="A157" i="2"/>
  <c r="A36" i="2"/>
  <c r="A301" i="2" s="1"/>
  <c r="A81" i="2"/>
  <c r="A103" i="2"/>
  <c r="A126" i="2"/>
  <c r="A187" i="2"/>
  <c r="A202" i="2"/>
  <c r="D220" i="2"/>
  <c r="E244" i="2"/>
  <c r="E245" i="2"/>
  <c r="D287" i="2"/>
  <c r="D288" i="2"/>
  <c r="J289" i="2"/>
  <c r="D290" i="2"/>
  <c r="E246" i="2"/>
  <c r="J290" i="2"/>
  <c r="E315" i="2"/>
  <c r="E317" i="2"/>
  <c r="J630" i="2"/>
  <c r="L631" i="2"/>
  <c r="N632" i="2"/>
  <c r="J634" i="2"/>
  <c r="L635" i="2"/>
  <c r="N636" i="2"/>
  <c r="N630" i="2"/>
  <c r="J632" i="2"/>
  <c r="L633" i="2"/>
  <c r="N634" i="2"/>
  <c r="J636" i="2"/>
  <c r="C447" i="2"/>
  <c r="L630" i="2"/>
  <c r="J631" i="2"/>
  <c r="N631" i="2"/>
  <c r="L632" i="2"/>
  <c r="J633" i="2"/>
  <c r="N633" i="2"/>
  <c r="L634" i="2"/>
  <c r="I630" i="2"/>
  <c r="K630" i="2"/>
  <c r="M630" i="2"/>
  <c r="I631" i="2"/>
  <c r="K631" i="2"/>
  <c r="M631" i="2"/>
  <c r="I632" i="2"/>
  <c r="K632" i="2"/>
  <c r="M632" i="2"/>
  <c r="I633" i="2"/>
  <c r="K633" i="2"/>
  <c r="M633" i="2"/>
  <c r="I634" i="2"/>
  <c r="K634" i="2"/>
  <c r="M634" i="2"/>
  <c r="I635" i="2"/>
  <c r="K635" i="2"/>
  <c r="M635" i="2"/>
  <c r="C263" i="2" l="1"/>
  <c r="D177" i="2"/>
  <c r="I571" i="2"/>
  <c r="J571" i="2" s="1"/>
  <c r="N571" i="2" s="1"/>
  <c r="E335" i="2" s="1"/>
  <c r="F335" i="2" s="1"/>
  <c r="G335" i="2" s="1"/>
  <c r="H567" i="2"/>
  <c r="J567" i="2" s="1"/>
  <c r="N567" i="2" s="1"/>
  <c r="I567" i="2"/>
  <c r="H572" i="2"/>
  <c r="H570" i="2"/>
  <c r="I570" i="2"/>
  <c r="I569" i="2"/>
  <c r="H568" i="2"/>
  <c r="J568" i="2" s="1"/>
  <c r="N568" i="2" s="1"/>
  <c r="H571" i="2"/>
  <c r="I572" i="2"/>
  <c r="J572" i="2" s="1"/>
  <c r="N572" i="2" s="1"/>
  <c r="E336" i="2" s="1"/>
  <c r="F336" i="2" s="1"/>
  <c r="G336" i="2" s="1"/>
  <c r="H569" i="2"/>
  <c r="J569" i="2" s="1"/>
  <c r="N569" i="2" s="1"/>
  <c r="E333" i="2" s="1"/>
  <c r="F333" i="2" s="1"/>
  <c r="G333" i="2" s="1"/>
  <c r="A60" i="2"/>
  <c r="A259" i="2"/>
  <c r="F161" i="2"/>
  <c r="J161" i="2" s="1"/>
  <c r="K161" i="2" s="1"/>
  <c r="P555" i="2"/>
  <c r="T555" i="2"/>
  <c r="D555" i="2"/>
  <c r="Q555" i="2"/>
  <c r="G543" i="2" s="1"/>
  <c r="C555" i="2"/>
  <c r="R555" i="2"/>
  <c r="B555" i="2"/>
  <c r="F555" i="2"/>
  <c r="S555" i="2"/>
  <c r="E555" i="2"/>
  <c r="L543" i="2"/>
  <c r="M543" i="2"/>
  <c r="K543" i="2"/>
  <c r="I259" i="2"/>
  <c r="J259" i="2" s="1"/>
  <c r="J570" i="2"/>
  <c r="N570" i="2" s="1"/>
  <c r="E334" i="2" s="1"/>
  <c r="F334" i="2" s="1"/>
  <c r="G334" i="2" s="1"/>
  <c r="AA555" i="2"/>
  <c r="Z555" i="2"/>
  <c r="Y555" i="2"/>
  <c r="X555" i="2"/>
  <c r="W555" i="2"/>
  <c r="V555" i="2"/>
  <c r="K555" i="2"/>
  <c r="M555" i="2"/>
  <c r="J555" i="2"/>
  <c r="I555" i="2"/>
  <c r="H555" i="2"/>
  <c r="L555" i="2"/>
  <c r="N555" i="2"/>
  <c r="F543" i="2"/>
  <c r="G260" i="2"/>
  <c r="I260" i="2" s="1"/>
  <c r="J260" i="2" s="1"/>
  <c r="G261" i="2"/>
  <c r="I261" i="2" s="1"/>
  <c r="J261" i="2" s="1"/>
  <c r="I262" i="2"/>
  <c r="J262" i="2" s="1"/>
  <c r="I258" i="2"/>
  <c r="J258" i="2" s="1"/>
  <c r="H257" i="2"/>
  <c r="G257" i="2"/>
  <c r="D435" i="2"/>
  <c r="D455" i="2"/>
  <c r="C455" i="2"/>
  <c r="F160" i="2"/>
  <c r="J160" i="2" s="1"/>
  <c r="K160" i="2" s="1"/>
  <c r="F159" i="2"/>
  <c r="J159" i="2" s="1"/>
  <c r="K159" i="2" s="1"/>
  <c r="I276" i="2"/>
  <c r="D456" i="2" s="1"/>
  <c r="H276" i="2"/>
  <c r="H275" i="2"/>
  <c r="I275" i="2"/>
  <c r="D436" i="2" s="1"/>
  <c r="H708" i="2"/>
  <c r="E708" i="2"/>
  <c r="C708" i="2"/>
  <c r="F708" i="2"/>
  <c r="D708" i="2"/>
  <c r="E140" i="2"/>
  <c r="F158" i="2"/>
  <c r="J158" i="2" s="1"/>
  <c r="K158" i="2" s="1"/>
  <c r="F157" i="2"/>
  <c r="J157" i="2" s="1"/>
  <c r="K157" i="2" s="1"/>
  <c r="E141" i="2"/>
  <c r="C366" i="2" s="1"/>
  <c r="B709" i="2"/>
  <c r="E249" i="2"/>
  <c r="D273" i="2"/>
  <c r="J291" i="2"/>
  <c r="E320" i="2"/>
  <c r="J156" i="2"/>
  <c r="K156" i="2" s="1"/>
  <c r="D291" i="2"/>
  <c r="A333" i="2"/>
  <c r="A316" i="2"/>
  <c r="A287" i="2"/>
  <c r="A273" i="2"/>
  <c r="A245" i="2"/>
  <c r="A231" i="2"/>
  <c r="A217" i="2"/>
  <c r="A203" i="2"/>
  <c r="A188" i="2"/>
  <c r="A173" i="2"/>
  <c r="A127" i="2"/>
  <c r="A104" i="2"/>
  <c r="A82" i="2"/>
  <c r="A158" i="2"/>
  <c r="A142" i="2"/>
  <c r="A37" i="2"/>
  <c r="A302" i="2" s="1"/>
  <c r="D221" i="2"/>
  <c r="F131" i="2"/>
  <c r="C435" i="2" l="1"/>
  <c r="O568" i="2"/>
  <c r="E332" i="2"/>
  <c r="F332" i="2" s="1"/>
  <c r="G332" i="2" s="1"/>
  <c r="O567" i="2"/>
  <c r="E331" i="2"/>
  <c r="F331" i="2" s="1"/>
  <c r="G331" i="2" s="1"/>
  <c r="I331" i="2" s="1"/>
  <c r="O572" i="2"/>
  <c r="P572" i="2"/>
  <c r="P568" i="2"/>
  <c r="Q568" i="2" s="1"/>
  <c r="R568" i="2" s="1"/>
  <c r="A61" i="2"/>
  <c r="A260" i="2"/>
  <c r="P567" i="2"/>
  <c r="I336" i="2"/>
  <c r="D459" i="2" s="1"/>
  <c r="Q556" i="2"/>
  <c r="G544" i="2" s="1"/>
  <c r="C556" i="2"/>
  <c r="F544" i="2" s="1"/>
  <c r="P556" i="2"/>
  <c r="T556" i="2"/>
  <c r="D556" i="2"/>
  <c r="S556" i="2"/>
  <c r="E556" i="2"/>
  <c r="R556" i="2"/>
  <c r="B556" i="2"/>
  <c r="F556" i="2"/>
  <c r="K544" i="2"/>
  <c r="L544" i="2"/>
  <c r="M544" i="2"/>
  <c r="O571" i="2"/>
  <c r="P571" i="2"/>
  <c r="O569" i="2"/>
  <c r="P569" i="2"/>
  <c r="O570" i="2"/>
  <c r="P570" i="2"/>
  <c r="I543" i="2"/>
  <c r="H543" i="2"/>
  <c r="AA556" i="2"/>
  <c r="Z556" i="2"/>
  <c r="Y556" i="2"/>
  <c r="X556" i="2"/>
  <c r="W556" i="2"/>
  <c r="V556" i="2"/>
  <c r="K556" i="2"/>
  <c r="M556" i="2"/>
  <c r="J556" i="2"/>
  <c r="I556" i="2"/>
  <c r="H556" i="2"/>
  <c r="L556" i="2"/>
  <c r="N556" i="2"/>
  <c r="F455" i="2"/>
  <c r="F435" i="2"/>
  <c r="M156" i="2"/>
  <c r="L156" i="2"/>
  <c r="M159" i="2"/>
  <c r="D408" i="2" s="1"/>
  <c r="L159" i="2"/>
  <c r="C408" i="2" s="1"/>
  <c r="M158" i="2"/>
  <c r="D387" i="2" s="1"/>
  <c r="L158" i="2"/>
  <c r="M161" i="2"/>
  <c r="D448" i="2" s="1"/>
  <c r="L161" i="2"/>
  <c r="M160" i="2"/>
  <c r="D428" i="2" s="1"/>
  <c r="L160" i="2"/>
  <c r="L157" i="2"/>
  <c r="M157" i="2"/>
  <c r="D367" i="2" s="1"/>
  <c r="C456" i="2"/>
  <c r="F456" i="2" s="1"/>
  <c r="J276" i="2"/>
  <c r="C436" i="2"/>
  <c r="F436" i="2" s="1"/>
  <c r="J275" i="2"/>
  <c r="C709" i="2"/>
  <c r="H709" i="2"/>
  <c r="F709" i="2"/>
  <c r="E709" i="2"/>
  <c r="D709" i="2"/>
  <c r="B710" i="2"/>
  <c r="D274" i="2"/>
  <c r="A334" i="2"/>
  <c r="A317" i="2"/>
  <c r="A288" i="2"/>
  <c r="A246" i="2"/>
  <c r="A232" i="2"/>
  <c r="A218" i="2"/>
  <c r="A274" i="2"/>
  <c r="A159" i="2"/>
  <c r="A105" i="2"/>
  <c r="A83" i="2"/>
  <c r="A38" i="2"/>
  <c r="A303" i="2" s="1"/>
  <c r="A204" i="2"/>
  <c r="A189" i="2"/>
  <c r="A174" i="2"/>
  <c r="A143" i="2"/>
  <c r="A128" i="2"/>
  <c r="C346" i="2"/>
  <c r="K162" i="2"/>
  <c r="Q567" i="2" l="1"/>
  <c r="R567" i="2" s="1"/>
  <c r="J543" i="2"/>
  <c r="N543" i="2" s="1"/>
  <c r="E272" i="2" s="1"/>
  <c r="F272" i="2" s="1"/>
  <c r="G272" i="2" s="1"/>
  <c r="Q572" i="2"/>
  <c r="R572" i="2" s="1"/>
  <c r="Q570" i="2"/>
  <c r="R570" i="2" s="1"/>
  <c r="Q569" i="2"/>
  <c r="R569" i="2" s="1"/>
  <c r="Q571" i="2"/>
  <c r="R571" i="2" s="1"/>
  <c r="I544" i="2"/>
  <c r="J544" i="2" s="1"/>
  <c r="N544" i="2" s="1"/>
  <c r="E273" i="2" s="1"/>
  <c r="F273" i="2" s="1"/>
  <c r="G273" i="2" s="1"/>
  <c r="H544" i="2"/>
  <c r="A62" i="2"/>
  <c r="A261" i="2"/>
  <c r="H336" i="2"/>
  <c r="J336" i="2" s="1"/>
  <c r="P557" i="2"/>
  <c r="T557" i="2"/>
  <c r="D557" i="2"/>
  <c r="Q557" i="2"/>
  <c r="G545" i="2" s="1"/>
  <c r="C557" i="2"/>
  <c r="F545" i="2" s="1"/>
  <c r="R557" i="2"/>
  <c r="B557" i="2"/>
  <c r="F557" i="2"/>
  <c r="S557" i="2"/>
  <c r="E557" i="2"/>
  <c r="L545" i="2"/>
  <c r="M545" i="2"/>
  <c r="K545" i="2"/>
  <c r="I335" i="2"/>
  <c r="D439" i="2" s="1"/>
  <c r="H335" i="2"/>
  <c r="Z557" i="2"/>
  <c r="X557" i="2"/>
  <c r="V557" i="2"/>
  <c r="AA557" i="2"/>
  <c r="Y557" i="2"/>
  <c r="W557" i="2"/>
  <c r="L557" i="2"/>
  <c r="N557" i="2"/>
  <c r="I557" i="2"/>
  <c r="K557" i="2"/>
  <c r="M557" i="2"/>
  <c r="J557" i="2"/>
  <c r="H557" i="2"/>
  <c r="K276" i="2"/>
  <c r="L276" i="2"/>
  <c r="F408" i="2"/>
  <c r="N159" i="2"/>
  <c r="O159" i="2" s="1"/>
  <c r="C448" i="2"/>
  <c r="F448" i="2" s="1"/>
  <c r="N161" i="2"/>
  <c r="O161" i="2" s="1"/>
  <c r="C428" i="2"/>
  <c r="F428" i="2" s="1"/>
  <c r="N160" i="2"/>
  <c r="O160" i="2" s="1"/>
  <c r="K275" i="2"/>
  <c r="L275" i="2"/>
  <c r="C710" i="2"/>
  <c r="F710" i="2"/>
  <c r="H710" i="2"/>
  <c r="E710" i="2"/>
  <c r="N707" i="2" s="1"/>
  <c r="D710" i="2"/>
  <c r="C387" i="2"/>
  <c r="F387" i="2" s="1"/>
  <c r="N158" i="2"/>
  <c r="O158" i="2" s="1"/>
  <c r="C367" i="2"/>
  <c r="F367" i="2" s="1"/>
  <c r="N157" i="2"/>
  <c r="O157" i="2" s="1"/>
  <c r="A335" i="2"/>
  <c r="A318" i="2"/>
  <c r="A289" i="2"/>
  <c r="A275" i="2"/>
  <c r="A247" i="2"/>
  <c r="A233" i="2"/>
  <c r="A219" i="2"/>
  <c r="A205" i="2"/>
  <c r="A190" i="2"/>
  <c r="A175" i="2"/>
  <c r="A144" i="2"/>
  <c r="A106" i="2"/>
  <c r="A84" i="2"/>
  <c r="A160" i="2"/>
  <c r="A129" i="2"/>
  <c r="A39" i="2"/>
  <c r="P543" i="2" l="1"/>
  <c r="O543" i="2"/>
  <c r="C459" i="2"/>
  <c r="F459" i="2" s="1"/>
  <c r="A262" i="2"/>
  <c r="A304" i="2"/>
  <c r="C439" i="2"/>
  <c r="F439" i="2" s="1"/>
  <c r="J335" i="2"/>
  <c r="I545" i="2"/>
  <c r="H545" i="2"/>
  <c r="O544" i="2"/>
  <c r="P544" i="2"/>
  <c r="A40" i="2"/>
  <c r="A64" i="2" s="1"/>
  <c r="A63" i="2"/>
  <c r="A41" i="2"/>
  <c r="A65" i="2" s="1"/>
  <c r="N722" i="2"/>
  <c r="N734" i="2"/>
  <c r="F263" i="2"/>
  <c r="N731" i="2"/>
  <c r="N711" i="2"/>
  <c r="A336" i="2"/>
  <c r="A290" i="2"/>
  <c r="A248" i="2"/>
  <c r="A234" i="2"/>
  <c r="A220" i="2"/>
  <c r="A319" i="2"/>
  <c r="A276" i="2"/>
  <c r="A161" i="2"/>
  <c r="A206" i="2"/>
  <c r="A107" i="2"/>
  <c r="A85" i="2"/>
  <c r="A191" i="2"/>
  <c r="A176" i="2"/>
  <c r="A145" i="2"/>
  <c r="A130" i="2"/>
  <c r="N718" i="2"/>
  <c r="N726" i="2"/>
  <c r="N717" i="2"/>
  <c r="N716" i="2"/>
  <c r="N708" i="2"/>
  <c r="N727" i="2"/>
  <c r="N712" i="2"/>
  <c r="N723" i="2"/>
  <c r="N721" i="2"/>
  <c r="N713" i="2"/>
  <c r="Q543" i="2" l="1"/>
  <c r="R543" i="2" s="1"/>
  <c r="Q544" i="2"/>
  <c r="R544" i="2" s="1"/>
  <c r="J545" i="2"/>
  <c r="N545" i="2" s="1"/>
  <c r="I333" i="2"/>
  <c r="I332" i="2"/>
  <c r="A108" i="2"/>
  <c r="A42" i="2"/>
  <c r="A66" i="2" s="1"/>
  <c r="A109" i="2"/>
  <c r="N736" i="2"/>
  <c r="P545" i="2" l="1"/>
  <c r="E274" i="2"/>
  <c r="F274" i="2" s="1"/>
  <c r="G274" i="2" s="1"/>
  <c r="G277" i="2" s="1"/>
  <c r="O545" i="2"/>
  <c r="Q545" i="2" s="1"/>
  <c r="R545" i="2" s="1"/>
  <c r="I334" i="2"/>
  <c r="A43" i="2"/>
  <c r="A67" i="2" s="1"/>
  <c r="A110" i="2"/>
  <c r="E215" i="2"/>
  <c r="E218" i="2"/>
  <c r="E217" i="2"/>
  <c r="E216" i="2"/>
  <c r="E288" i="2"/>
  <c r="E219" i="2"/>
  <c r="E290" i="2"/>
  <c r="E289" i="2"/>
  <c r="E220" i="2"/>
  <c r="E286" i="2"/>
  <c r="E287" i="2"/>
  <c r="E285" i="2"/>
  <c r="E232" i="2"/>
  <c r="E230" i="2"/>
  <c r="E231" i="2"/>
  <c r="E229" i="2"/>
  <c r="N333" i="2"/>
  <c r="E400" i="2" s="1"/>
  <c r="H319" i="2"/>
  <c r="E458" i="2" s="1"/>
  <c r="H315" i="2"/>
  <c r="E377" i="2" s="1"/>
  <c r="H317" i="2"/>
  <c r="E418" i="2" s="1"/>
  <c r="H314" i="2"/>
  <c r="H316" i="2"/>
  <c r="E397" i="2" s="1"/>
  <c r="H318" i="2"/>
  <c r="E438" i="2" s="1"/>
  <c r="H231" i="2"/>
  <c r="E392" i="2" s="1"/>
  <c r="H230" i="2"/>
  <c r="E372" i="2" s="1"/>
  <c r="H234" i="2"/>
  <c r="E453" i="2" s="1"/>
  <c r="H229" i="2"/>
  <c r="H233" i="2"/>
  <c r="E433" i="2" s="1"/>
  <c r="H232" i="2"/>
  <c r="E413" i="2" s="1"/>
  <c r="N334" i="2"/>
  <c r="E421" i="2" s="1"/>
  <c r="G130" i="2"/>
  <c r="G129" i="2"/>
  <c r="G127" i="2"/>
  <c r="G128" i="2"/>
  <c r="G125" i="2"/>
  <c r="N332" i="2"/>
  <c r="E380" i="2" s="1"/>
  <c r="G140" i="2"/>
  <c r="E346" i="2" s="1"/>
  <c r="G337" i="2" l="1"/>
  <c r="A111" i="2"/>
  <c r="D21" i="12"/>
  <c r="E291" i="2"/>
  <c r="E221" i="2"/>
  <c r="D142" i="2"/>
  <c r="D143" i="2"/>
  <c r="E143" i="2" s="1"/>
  <c r="C407" i="2" s="1"/>
  <c r="D461" i="2"/>
  <c r="D441" i="2"/>
  <c r="M287" i="2"/>
  <c r="E301" i="2" s="1"/>
  <c r="E396" i="2" s="1"/>
  <c r="M286" i="2"/>
  <c r="E300" i="2" s="1"/>
  <c r="E376" i="2" s="1"/>
  <c r="M288" i="2"/>
  <c r="E302" i="2" s="1"/>
  <c r="E417" i="2" s="1"/>
  <c r="M285" i="2"/>
  <c r="H243" i="2"/>
  <c r="H246" i="2"/>
  <c r="H248" i="2"/>
  <c r="E454" i="2" s="1"/>
  <c r="H244" i="2"/>
  <c r="E373" i="2" s="1"/>
  <c r="H247" i="2"/>
  <c r="E434" i="2" s="1"/>
  <c r="H245" i="2"/>
  <c r="D406" i="2"/>
  <c r="F406" i="2" s="1"/>
  <c r="H128" i="2"/>
  <c r="I128" i="2" s="1"/>
  <c r="D426" i="2"/>
  <c r="H129" i="2"/>
  <c r="I129" i="2" s="1"/>
  <c r="D365" i="2"/>
  <c r="F365" i="2" s="1"/>
  <c r="H126" i="2"/>
  <c r="I126" i="2" s="1"/>
  <c r="C441" i="2"/>
  <c r="O335" i="2"/>
  <c r="P335" i="2" s="1"/>
  <c r="C461" i="2"/>
  <c r="B23" i="12"/>
  <c r="E352" i="2"/>
  <c r="H235" i="2"/>
  <c r="E12" i="2" s="1"/>
  <c r="E357" i="2"/>
  <c r="H320" i="2"/>
  <c r="E17" i="2" s="1"/>
  <c r="D400" i="2"/>
  <c r="D34" i="12"/>
  <c r="E450" i="2"/>
  <c r="G145" i="2"/>
  <c r="E447" i="2" s="1"/>
  <c r="G144" i="2"/>
  <c r="E427" i="2" s="1"/>
  <c r="E430" i="2"/>
  <c r="E369" i="2"/>
  <c r="G143" i="2"/>
  <c r="E407" i="2" s="1"/>
  <c r="G142" i="2"/>
  <c r="E389" i="2"/>
  <c r="D345" i="2"/>
  <c r="F345" i="2" s="1"/>
  <c r="H125" i="2"/>
  <c r="I125" i="2" s="1"/>
  <c r="G131" i="2"/>
  <c r="D5" i="2" s="1"/>
  <c r="F5" i="2" s="1"/>
  <c r="D385" i="2"/>
  <c r="F385" i="2" s="1"/>
  <c r="H127" i="2"/>
  <c r="I127" i="2" s="1"/>
  <c r="D446" i="2"/>
  <c r="F446" i="2" s="1"/>
  <c r="H130" i="2"/>
  <c r="I130" i="2" s="1"/>
  <c r="K83" i="12"/>
  <c r="F461" i="2" l="1"/>
  <c r="I70" i="12"/>
  <c r="I68" i="12"/>
  <c r="K68" i="12" s="1"/>
  <c r="I66" i="12"/>
  <c r="K66" i="12" s="1"/>
  <c r="I69" i="12"/>
  <c r="K69" i="12" s="1"/>
  <c r="I67" i="12"/>
  <c r="E409" i="2"/>
  <c r="E388" i="2"/>
  <c r="D44" i="12"/>
  <c r="E142" i="2"/>
  <c r="D146" i="2"/>
  <c r="F441" i="2"/>
  <c r="H131" i="2"/>
  <c r="O336" i="2"/>
  <c r="P336" i="2" s="1"/>
  <c r="D40" i="12"/>
  <c r="N337" i="2"/>
  <c r="E20" i="2" s="1"/>
  <c r="E360" i="2"/>
  <c r="F426" i="2"/>
  <c r="E414" i="2"/>
  <c r="E393" i="2"/>
  <c r="E299" i="2"/>
  <c r="M291" i="2"/>
  <c r="D421" i="2"/>
  <c r="D43" i="12"/>
  <c r="E386" i="2"/>
  <c r="G146" i="2"/>
  <c r="E6" i="2" s="1"/>
  <c r="E349" i="2"/>
  <c r="E9" i="2"/>
  <c r="E429" i="2"/>
  <c r="E449" i="2"/>
  <c r="E368" i="2"/>
  <c r="D23" i="12"/>
  <c r="F144" i="2"/>
  <c r="F145" i="2"/>
  <c r="F140" i="2"/>
  <c r="F142" i="2"/>
  <c r="F143" i="2"/>
  <c r="F141" i="2"/>
  <c r="E353" i="2"/>
  <c r="H249" i="2"/>
  <c r="E13" i="2" s="1"/>
  <c r="D39" i="12"/>
  <c r="D45" i="12"/>
  <c r="F186" i="2" l="1"/>
  <c r="F191" i="2"/>
  <c r="H191" i="2" s="1"/>
  <c r="I191" i="2" s="1"/>
  <c r="F188" i="2"/>
  <c r="H188" i="2" s="1"/>
  <c r="I188" i="2" s="1"/>
  <c r="F190" i="2"/>
  <c r="H190" i="2" s="1"/>
  <c r="I190" i="2" s="1"/>
  <c r="F187" i="2"/>
  <c r="H187" i="2" s="1"/>
  <c r="I187" i="2" s="1"/>
  <c r="F189" i="2"/>
  <c r="H189" i="2" s="1"/>
  <c r="I189" i="2" s="1"/>
  <c r="F176" i="2"/>
  <c r="F175" i="2"/>
  <c r="F171" i="2"/>
  <c r="F174" i="2"/>
  <c r="F172" i="2"/>
  <c r="D368" i="2" s="1"/>
  <c r="F173" i="2"/>
  <c r="I71" i="12"/>
  <c r="K71" i="12" s="1"/>
  <c r="K67" i="12"/>
  <c r="D38" i="12"/>
  <c r="L288" i="2"/>
  <c r="C386" i="2"/>
  <c r="E146" i="2"/>
  <c r="C6" i="2" s="1"/>
  <c r="L286" i="2"/>
  <c r="L285" i="2"/>
  <c r="L290" i="2"/>
  <c r="G245" i="2"/>
  <c r="G243" i="2"/>
  <c r="D353" i="2" s="1"/>
  <c r="G246" i="2"/>
  <c r="G248" i="2"/>
  <c r="D454" i="2" s="1"/>
  <c r="G244" i="2"/>
  <c r="D373" i="2" s="1"/>
  <c r="G247" i="2"/>
  <c r="D434" i="2" s="1"/>
  <c r="D22" i="12"/>
  <c r="D48" i="12"/>
  <c r="D49" i="12"/>
  <c r="D366" i="2"/>
  <c r="F366" i="2" s="1"/>
  <c r="H141" i="2"/>
  <c r="I141" i="2" s="1"/>
  <c r="D386" i="2"/>
  <c r="H142" i="2"/>
  <c r="I142" i="2" s="1"/>
  <c r="D447" i="2"/>
  <c r="F447" i="2" s="1"/>
  <c r="H145" i="2"/>
  <c r="I145" i="2" s="1"/>
  <c r="E356" i="2"/>
  <c r="E305" i="2"/>
  <c r="E16" i="2" s="1"/>
  <c r="G215" i="2"/>
  <c r="G218" i="2"/>
  <c r="D412" i="2" s="1"/>
  <c r="G217" i="2"/>
  <c r="D391" i="2" s="1"/>
  <c r="G216" i="2"/>
  <c r="D371" i="2" s="1"/>
  <c r="G288" i="2"/>
  <c r="G219" i="2"/>
  <c r="D432" i="2" s="1"/>
  <c r="G290" i="2"/>
  <c r="G289" i="2"/>
  <c r="G220" i="2"/>
  <c r="D452" i="2" s="1"/>
  <c r="G286" i="2"/>
  <c r="G287" i="2"/>
  <c r="G285" i="2"/>
  <c r="G231" i="2"/>
  <c r="D392" i="2" s="1"/>
  <c r="G232" i="2"/>
  <c r="D413" i="2" s="1"/>
  <c r="G229" i="2"/>
  <c r="G233" i="2"/>
  <c r="D433" i="2" s="1"/>
  <c r="G230" i="2"/>
  <c r="D372" i="2" s="1"/>
  <c r="G234" i="2"/>
  <c r="D453" i="2" s="1"/>
  <c r="G314" i="2"/>
  <c r="G316" i="2"/>
  <c r="D397" i="2" s="1"/>
  <c r="G318" i="2"/>
  <c r="D438" i="2" s="1"/>
  <c r="G319" i="2"/>
  <c r="D458" i="2" s="1"/>
  <c r="G315" i="2"/>
  <c r="D377" i="2" s="1"/>
  <c r="G317" i="2"/>
  <c r="D418" i="2" s="1"/>
  <c r="D52" i="12"/>
  <c r="D450" i="2"/>
  <c r="D407" i="2"/>
  <c r="F407" i="2" s="1"/>
  <c r="H143" i="2"/>
  <c r="I143" i="2" s="1"/>
  <c r="F146" i="2"/>
  <c r="D6" i="2" s="1"/>
  <c r="H140" i="2"/>
  <c r="I140" i="2" s="1"/>
  <c r="D346" i="2"/>
  <c r="F346" i="2" s="1"/>
  <c r="D427" i="2"/>
  <c r="H144" i="2"/>
  <c r="I144" i="2" s="1"/>
  <c r="E348" i="2"/>
  <c r="G177" i="2"/>
  <c r="E8" i="2" s="1"/>
  <c r="D18" i="12"/>
  <c r="D389" i="2" l="1"/>
  <c r="D369" i="2"/>
  <c r="D430" i="2"/>
  <c r="F192" i="2"/>
  <c r="D388" i="2"/>
  <c r="D429" i="2"/>
  <c r="D449" i="2"/>
  <c r="D409" i="2"/>
  <c r="D410" i="2"/>
  <c r="F410" i="2" s="1"/>
  <c r="F386" i="2"/>
  <c r="D380" i="2"/>
  <c r="L287" i="2"/>
  <c r="D301" i="2" s="1"/>
  <c r="D396" i="2" s="1"/>
  <c r="L289" i="2"/>
  <c r="D303" i="2" s="1"/>
  <c r="D437" i="2" s="1"/>
  <c r="F6" i="2"/>
  <c r="H146" i="2"/>
  <c r="F427" i="2"/>
  <c r="D20" i="12"/>
  <c r="D29" i="12"/>
  <c r="D349" i="2"/>
  <c r="D9" i="2"/>
  <c r="C421" i="2"/>
  <c r="F421" i="2" s="1"/>
  <c r="O334" i="2"/>
  <c r="D357" i="2"/>
  <c r="G320" i="2"/>
  <c r="D17" i="2" s="1"/>
  <c r="D352" i="2"/>
  <c r="G235" i="2"/>
  <c r="D12" i="2" s="1"/>
  <c r="D351" i="2"/>
  <c r="G221" i="2"/>
  <c r="D11" i="2" s="1"/>
  <c r="I272" i="2"/>
  <c r="D375" i="2" s="1"/>
  <c r="I274" i="2"/>
  <c r="D416" i="2" s="1"/>
  <c r="G249" i="2"/>
  <c r="D13" i="2" s="1"/>
  <c r="D302" i="2"/>
  <c r="D417" i="2" s="1"/>
  <c r="D398" i="2"/>
  <c r="D378" i="2"/>
  <c r="D419" i="2"/>
  <c r="D19" i="12"/>
  <c r="D299" i="2"/>
  <c r="G291" i="2"/>
  <c r="D33" i="12"/>
  <c r="D354" i="2"/>
  <c r="D394" i="2"/>
  <c r="D374" i="2"/>
  <c r="D415" i="2"/>
  <c r="I273" i="2"/>
  <c r="D395" i="2" s="1"/>
  <c r="D355" i="2"/>
  <c r="D30" i="12"/>
  <c r="C355" i="2"/>
  <c r="H333" i="2"/>
  <c r="H331" i="2"/>
  <c r="H273" i="2"/>
  <c r="C395" i="2" s="1"/>
  <c r="D414" i="2"/>
  <c r="D393" i="2"/>
  <c r="D304" i="2"/>
  <c r="D457" i="2" s="1"/>
  <c r="D300" i="2"/>
  <c r="D376" i="2" s="1"/>
  <c r="D348" i="2"/>
  <c r="F177" i="2"/>
  <c r="D8" i="2" s="1"/>
  <c r="L291" i="2" l="1"/>
  <c r="H332" i="2"/>
  <c r="C378" i="2" s="1"/>
  <c r="F378" i="2" s="1"/>
  <c r="M162" i="2"/>
  <c r="D7" i="2" s="1"/>
  <c r="D347" i="2"/>
  <c r="H334" i="2"/>
  <c r="C419" i="2" s="1"/>
  <c r="F419" i="2" s="1"/>
  <c r="H263" i="2"/>
  <c r="D14" i="2" s="1"/>
  <c r="J273" i="2"/>
  <c r="J333" i="2"/>
  <c r="C398" i="2"/>
  <c r="F398" i="2" s="1"/>
  <c r="I277" i="2"/>
  <c r="D15" i="2" s="1"/>
  <c r="D360" i="2"/>
  <c r="M337" i="2"/>
  <c r="D20" i="2" s="1"/>
  <c r="O333" i="2"/>
  <c r="C400" i="2"/>
  <c r="F400" i="2" s="1"/>
  <c r="D356" i="2"/>
  <c r="D305" i="2"/>
  <c r="D16" i="2" s="1"/>
  <c r="D358" i="2"/>
  <c r="I337" i="2"/>
  <c r="D18" i="2" s="1"/>
  <c r="K64" i="12"/>
  <c r="K73" i="12"/>
  <c r="F215" i="2"/>
  <c r="F218" i="2"/>
  <c r="F217" i="2"/>
  <c r="F216" i="2"/>
  <c r="F288" i="2"/>
  <c r="H288" i="2" s="1"/>
  <c r="F290" i="2"/>
  <c r="H290" i="2" s="1"/>
  <c r="F289" i="2"/>
  <c r="H289" i="2" s="1"/>
  <c r="F220" i="2"/>
  <c r="F286" i="2"/>
  <c r="H286" i="2" s="1"/>
  <c r="F219" i="2"/>
  <c r="F287" i="2"/>
  <c r="H287" i="2" s="1"/>
  <c r="F285" i="2"/>
  <c r="K63" i="12"/>
  <c r="C358" i="2"/>
  <c r="J331" i="2"/>
  <c r="J271" i="2"/>
  <c r="D35" i="12"/>
  <c r="H274" i="2"/>
  <c r="C416" i="2" s="1"/>
  <c r="H272" i="2"/>
  <c r="C375" i="2" s="1"/>
  <c r="J334" i="2" l="1"/>
  <c r="P334" i="2" s="1"/>
  <c r="J332" i="2"/>
  <c r="H337" i="2"/>
  <c r="C18" i="2" s="1"/>
  <c r="F18" i="2" s="1"/>
  <c r="C380" i="2"/>
  <c r="F380" i="2" s="1"/>
  <c r="O332" i="2"/>
  <c r="L162" i="2"/>
  <c r="C7" i="2" s="1"/>
  <c r="F7" i="2" s="1"/>
  <c r="C347" i="2"/>
  <c r="F347" i="2" s="1"/>
  <c r="N156" i="2"/>
  <c r="O156" i="2" s="1"/>
  <c r="C374" i="2"/>
  <c r="F374" i="2" s="1"/>
  <c r="F355" i="2"/>
  <c r="C354" i="2"/>
  <c r="F354" i="2" s="1"/>
  <c r="C415" i="2"/>
  <c r="F415" i="2" s="1"/>
  <c r="C394" i="2"/>
  <c r="F394" i="2" s="1"/>
  <c r="F395" i="2"/>
  <c r="F358" i="2"/>
  <c r="K81" i="12"/>
  <c r="F319" i="2"/>
  <c r="F315" i="2"/>
  <c r="F317" i="2"/>
  <c r="F314" i="2"/>
  <c r="F316" i="2"/>
  <c r="F318" i="2"/>
  <c r="K78" i="12"/>
  <c r="K79" i="12"/>
  <c r="F243" i="2"/>
  <c r="F246" i="2"/>
  <c r="F248" i="2"/>
  <c r="F244" i="2"/>
  <c r="F247" i="2"/>
  <c r="F245" i="2"/>
  <c r="K75" i="12"/>
  <c r="F229" i="2"/>
  <c r="F233" i="2"/>
  <c r="F232" i="2"/>
  <c r="F231" i="2"/>
  <c r="F230" i="2"/>
  <c r="F234" i="2"/>
  <c r="K77" i="12"/>
  <c r="F416" i="2"/>
  <c r="J274" i="2"/>
  <c r="L274" i="2" s="1"/>
  <c r="I257" i="2"/>
  <c r="G263" i="2"/>
  <c r="C14" i="2" s="1"/>
  <c r="F14" i="2" s="1"/>
  <c r="C360" i="2"/>
  <c r="F360" i="2" s="1"/>
  <c r="L337" i="2"/>
  <c r="C20" i="2" s="1"/>
  <c r="F20" i="2" s="1"/>
  <c r="O331" i="2"/>
  <c r="C391" i="2"/>
  <c r="F391" i="2" s="1"/>
  <c r="H217" i="2"/>
  <c r="C351" i="2"/>
  <c r="F351" i="2" s="1"/>
  <c r="H215" i="2"/>
  <c r="F221" i="2"/>
  <c r="C11" i="2" s="1"/>
  <c r="F11" i="2" s="1"/>
  <c r="F375" i="2"/>
  <c r="J272" i="2"/>
  <c r="H277" i="2"/>
  <c r="C15" i="2" s="1"/>
  <c r="F15" i="2" s="1"/>
  <c r="H285" i="2"/>
  <c r="H291" i="2" s="1"/>
  <c r="F291" i="2"/>
  <c r="H219" i="2"/>
  <c r="C432" i="2"/>
  <c r="F432" i="2" s="1"/>
  <c r="C452" i="2"/>
  <c r="F452" i="2" s="1"/>
  <c r="H220" i="2"/>
  <c r="C371" i="2"/>
  <c r="F371" i="2" s="1"/>
  <c r="H216" i="2"/>
  <c r="C412" i="2"/>
  <c r="H218" i="2"/>
  <c r="P333" i="2"/>
  <c r="J337" i="2" l="1"/>
  <c r="J257" i="2"/>
  <c r="K273" i="2"/>
  <c r="L271" i="2"/>
  <c r="P332" i="2"/>
  <c r="I218" i="2"/>
  <c r="J218" i="2"/>
  <c r="I220" i="2"/>
  <c r="J220" i="2"/>
  <c r="I219" i="2"/>
  <c r="J219" i="2"/>
  <c r="L273" i="2"/>
  <c r="L272" i="2"/>
  <c r="O337" i="2"/>
  <c r="N162" i="2"/>
  <c r="K274" i="2"/>
  <c r="P331" i="2"/>
  <c r="J277" i="2"/>
  <c r="F412" i="2"/>
  <c r="K272" i="2"/>
  <c r="K70" i="12"/>
  <c r="C453" i="2"/>
  <c r="F453" i="2" s="1"/>
  <c r="I234" i="2"/>
  <c r="I231" i="2"/>
  <c r="C392" i="2"/>
  <c r="F392" i="2" s="1"/>
  <c r="I233" i="2"/>
  <c r="C433" i="2"/>
  <c r="F433" i="2" s="1"/>
  <c r="C434" i="2"/>
  <c r="F434" i="2" s="1"/>
  <c r="I247" i="2"/>
  <c r="J247" i="2" s="1"/>
  <c r="C454" i="2"/>
  <c r="F454" i="2" s="1"/>
  <c r="I248" i="2"/>
  <c r="J248" i="2" s="1"/>
  <c r="C353" i="2"/>
  <c r="F353" i="2" s="1"/>
  <c r="I243" i="2"/>
  <c r="F249" i="2"/>
  <c r="C13" i="2" s="1"/>
  <c r="F13" i="2" s="1"/>
  <c r="K289" i="2"/>
  <c r="K286" i="2"/>
  <c r="K285" i="2"/>
  <c r="I316" i="2"/>
  <c r="J316" i="2" s="1"/>
  <c r="C397" i="2"/>
  <c r="F397" i="2" s="1"/>
  <c r="C418" i="2"/>
  <c r="F418" i="2" s="1"/>
  <c r="I317" i="2"/>
  <c r="J317" i="2" s="1"/>
  <c r="I319" i="2"/>
  <c r="J319" i="2" s="1"/>
  <c r="C458" i="2"/>
  <c r="F458" i="2" s="1"/>
  <c r="I216" i="2"/>
  <c r="J216" i="2"/>
  <c r="H221" i="2"/>
  <c r="I215" i="2"/>
  <c r="J215" i="2"/>
  <c r="I217" i="2"/>
  <c r="J217" i="2"/>
  <c r="K271" i="2"/>
  <c r="I263" i="2"/>
  <c r="C372" i="2"/>
  <c r="F372" i="2" s="1"/>
  <c r="I230" i="2"/>
  <c r="C413" i="2"/>
  <c r="F413" i="2" s="1"/>
  <c r="I232" i="2"/>
  <c r="I229" i="2"/>
  <c r="C352" i="2"/>
  <c r="F352" i="2" s="1"/>
  <c r="F235" i="2"/>
  <c r="C12" i="2" s="1"/>
  <c r="F12" i="2" s="1"/>
  <c r="I245" i="2"/>
  <c r="J245" i="2" s="1"/>
  <c r="C393" i="2"/>
  <c r="F393" i="2" s="1"/>
  <c r="C373" i="2"/>
  <c r="F373" i="2" s="1"/>
  <c r="I244" i="2"/>
  <c r="J244" i="2" s="1"/>
  <c r="C414" i="2"/>
  <c r="F414" i="2" s="1"/>
  <c r="I246" i="2"/>
  <c r="J246" i="2" s="1"/>
  <c r="K288" i="2"/>
  <c r="K287" i="2"/>
  <c r="K290" i="2"/>
  <c r="I318" i="2"/>
  <c r="J318" i="2" s="1"/>
  <c r="C438" i="2"/>
  <c r="F438" i="2" s="1"/>
  <c r="C357" i="2"/>
  <c r="F357" i="2" s="1"/>
  <c r="I314" i="2"/>
  <c r="J314" i="2" s="1"/>
  <c r="F320" i="2"/>
  <c r="C17" i="2" s="1"/>
  <c r="F17" i="2" s="1"/>
  <c r="C377" i="2"/>
  <c r="F377" i="2" s="1"/>
  <c r="I315" i="2"/>
  <c r="J315" i="2" s="1"/>
  <c r="K277" i="2" l="1"/>
  <c r="I235" i="2"/>
  <c r="I320" i="2"/>
  <c r="N290" i="2"/>
  <c r="C304" i="2"/>
  <c r="N288" i="2"/>
  <c r="C302" i="2"/>
  <c r="N286" i="2"/>
  <c r="C300" i="2"/>
  <c r="C349" i="2"/>
  <c r="F349" i="2" s="1"/>
  <c r="H186" i="2"/>
  <c r="I186" i="2" s="1"/>
  <c r="C9" i="2"/>
  <c r="F9" i="2" s="1"/>
  <c r="C389" i="2"/>
  <c r="N287" i="2"/>
  <c r="C301" i="2"/>
  <c r="K291" i="2"/>
  <c r="N285" i="2"/>
  <c r="C299" i="2"/>
  <c r="N289" i="2"/>
  <c r="C303" i="2"/>
  <c r="J243" i="2"/>
  <c r="I249" i="2"/>
  <c r="C369" i="2"/>
  <c r="F369" i="2" s="1"/>
  <c r="C450" i="2"/>
  <c r="F450" i="2" s="1"/>
  <c r="C430" i="2"/>
  <c r="F430" i="2" s="1"/>
  <c r="H192" i="2" l="1"/>
  <c r="C388" i="2"/>
  <c r="F388" i="2" s="1"/>
  <c r="H173" i="2"/>
  <c r="I173" i="2" s="1"/>
  <c r="C409" i="2"/>
  <c r="F409" i="2" s="1"/>
  <c r="H174" i="2"/>
  <c r="I174" i="2" s="1"/>
  <c r="N291" i="2"/>
  <c r="C429" i="2"/>
  <c r="H175" i="2"/>
  <c r="I175" i="2" s="1"/>
  <c r="C368" i="2"/>
  <c r="H172" i="2"/>
  <c r="I172" i="2" s="1"/>
  <c r="F303" i="2"/>
  <c r="G303" i="2" s="1"/>
  <c r="C437" i="2"/>
  <c r="F437" i="2" s="1"/>
  <c r="F299" i="2"/>
  <c r="C305" i="2"/>
  <c r="C16" i="2" s="1"/>
  <c r="F16" i="2" s="1"/>
  <c r="C356" i="2"/>
  <c r="F356" i="2" s="1"/>
  <c r="F389" i="2"/>
  <c r="F300" i="2"/>
  <c r="G300" i="2" s="1"/>
  <c r="C376" i="2"/>
  <c r="F376" i="2" s="1"/>
  <c r="F302" i="2"/>
  <c r="G302" i="2" s="1"/>
  <c r="C417" i="2"/>
  <c r="F304" i="2"/>
  <c r="G304" i="2" s="1"/>
  <c r="C457" i="2"/>
  <c r="F457" i="2" s="1"/>
  <c r="C348" i="2"/>
  <c r="H171" i="2"/>
  <c r="I171" i="2" s="1"/>
  <c r="E177" i="2"/>
  <c r="C8" i="2" s="1"/>
  <c r="C449" i="2"/>
  <c r="H176" i="2"/>
  <c r="I176" i="2" s="1"/>
  <c r="C396" i="2"/>
  <c r="F396" i="2" s="1"/>
  <c r="F301" i="2"/>
  <c r="G301" i="2" s="1"/>
  <c r="F8" i="2" l="1"/>
  <c r="F348" i="2"/>
  <c r="F449" i="2"/>
  <c r="H177" i="2"/>
  <c r="F417" i="2"/>
  <c r="G299" i="2"/>
  <c r="F305" i="2"/>
  <c r="F368" i="2"/>
  <c r="F429" i="2"/>
  <c r="D201" i="2" l="1"/>
  <c r="G201" i="2"/>
  <c r="F201" i="2"/>
  <c r="G205" i="2"/>
  <c r="E431" i="2" s="1"/>
  <c r="E440" i="2" s="1"/>
  <c r="E442" i="2" s="1"/>
  <c r="G20" i="13" s="1"/>
  <c r="E205" i="2"/>
  <c r="C431" i="2" s="1"/>
  <c r="E206" i="2"/>
  <c r="C451" i="2" s="1"/>
  <c r="D204" i="2"/>
  <c r="F202" i="2"/>
  <c r="D370" i="2" s="1"/>
  <c r="D379" i="2" s="1"/>
  <c r="D381" i="2" s="1"/>
  <c r="E201" i="2"/>
  <c r="D203" i="2"/>
  <c r="E203" i="2"/>
  <c r="C390" i="2" s="1"/>
  <c r="C399" i="2" s="1"/>
  <c r="H201" i="2" l="1"/>
  <c r="C350" i="2"/>
  <c r="C359" i="2" s="1"/>
  <c r="E204" i="2"/>
  <c r="C411" i="2" s="1"/>
  <c r="C420" i="2" s="1"/>
  <c r="C401" i="2"/>
  <c r="I201" i="2"/>
  <c r="C460" i="2"/>
  <c r="C440" i="2"/>
  <c r="F204" i="2"/>
  <c r="D411" i="2" s="1"/>
  <c r="D420" i="2" s="1"/>
  <c r="D422" i="2" s="1"/>
  <c r="F19" i="13" s="1"/>
  <c r="F205" i="2"/>
  <c r="D431" i="2" s="1"/>
  <c r="D440" i="2" s="1"/>
  <c r="D442" i="2" s="1"/>
  <c r="G19" i="13" s="1"/>
  <c r="F206" i="2"/>
  <c r="D451" i="2" s="1"/>
  <c r="D460" i="2" s="1"/>
  <c r="D462" i="2" s="1"/>
  <c r="H19" i="13" s="1"/>
  <c r="G204" i="2"/>
  <c r="E411" i="2" s="1"/>
  <c r="E420" i="2" s="1"/>
  <c r="E422" i="2" s="1"/>
  <c r="F20" i="13" s="1"/>
  <c r="G206" i="2"/>
  <c r="E451" i="2" s="1"/>
  <c r="E460" i="2" s="1"/>
  <c r="E462" i="2" s="1"/>
  <c r="H20" i="13" s="1"/>
  <c r="G202" i="2"/>
  <c r="E370" i="2" s="1"/>
  <c r="E379" i="2" s="1"/>
  <c r="E381" i="2" s="1"/>
  <c r="D20" i="13" s="1"/>
  <c r="D202" i="2"/>
  <c r="D205" i="2"/>
  <c r="D206" i="2"/>
  <c r="E202" i="2"/>
  <c r="C370" i="2" s="1"/>
  <c r="D350" i="2"/>
  <c r="D359" i="2" s="1"/>
  <c r="D361" i="2" s="1"/>
  <c r="C19" i="13" s="1"/>
  <c r="F203" i="2"/>
  <c r="D390" i="2" s="1"/>
  <c r="D399" i="2" s="1"/>
  <c r="D401" i="2" s="1"/>
  <c r="E19" i="13" s="1"/>
  <c r="E350" i="2"/>
  <c r="E359" i="2" s="1"/>
  <c r="E361" i="2" s="1"/>
  <c r="C20" i="13" s="1"/>
  <c r="G203" i="2"/>
  <c r="E390" i="2" s="1"/>
  <c r="E399" i="2" s="1"/>
  <c r="E401" i="2" s="1"/>
  <c r="E20" i="13" s="1"/>
  <c r="H205" i="2" l="1"/>
  <c r="I205" i="2" s="1"/>
  <c r="H204" i="2"/>
  <c r="I204" i="2" s="1"/>
  <c r="D207" i="2"/>
  <c r="D26" i="13"/>
  <c r="H202" i="2"/>
  <c r="I202" i="2" s="1"/>
  <c r="E207" i="2"/>
  <c r="C10" i="2" s="1"/>
  <c r="C19" i="2" s="1"/>
  <c r="E26" i="13"/>
  <c r="F359" i="2"/>
  <c r="C361" i="2"/>
  <c r="F440" i="2"/>
  <c r="C442" i="2"/>
  <c r="C462" i="2"/>
  <c r="F460" i="2"/>
  <c r="C422" i="2"/>
  <c r="F420" i="2"/>
  <c r="F390" i="2"/>
  <c r="H206" i="2"/>
  <c r="I206" i="2" s="1"/>
  <c r="F401" i="2"/>
  <c r="G401" i="2" s="1"/>
  <c r="E18" i="13"/>
  <c r="E21" i="13" s="1"/>
  <c r="E22" i="13" s="1"/>
  <c r="H203" i="2"/>
  <c r="I203" i="2" s="1"/>
  <c r="F370" i="2"/>
  <c r="C379" i="2"/>
  <c r="F207" i="2"/>
  <c r="D10" i="2" s="1"/>
  <c r="D19" i="2" s="1"/>
  <c r="D21" i="2" s="1"/>
  <c r="F431" i="2"/>
  <c r="F451" i="2"/>
  <c r="F411" i="2"/>
  <c r="G207" i="2"/>
  <c r="E10" i="2" s="1"/>
  <c r="E19" i="2" s="1"/>
  <c r="E21" i="2" s="1"/>
  <c r="F350" i="2"/>
  <c r="F399" i="2"/>
  <c r="H207" i="2" l="1"/>
  <c r="C381" i="2"/>
  <c r="F379" i="2"/>
  <c r="F422" i="2"/>
  <c r="G422" i="2" s="1"/>
  <c r="F18" i="13"/>
  <c r="F21" i="13" s="1"/>
  <c r="F22" i="13" s="1"/>
  <c r="F462" i="2"/>
  <c r="G462" i="2" s="1"/>
  <c r="H18" i="13"/>
  <c r="H21" i="13" s="1"/>
  <c r="H22" i="13" s="1"/>
  <c r="F10" i="2"/>
  <c r="F442" i="2"/>
  <c r="G442" i="2" s="1"/>
  <c r="G18" i="13"/>
  <c r="G21" i="13" s="1"/>
  <c r="G22" i="13" s="1"/>
  <c r="C18" i="13"/>
  <c r="F361" i="2"/>
  <c r="G361" i="2" s="1"/>
  <c r="F19" i="2"/>
  <c r="C21" i="2"/>
  <c r="F21" i="2" s="1"/>
  <c r="C21" i="13" l="1"/>
  <c r="D18" i="13"/>
  <c r="D21" i="13" s="1"/>
  <c r="D22" i="13" s="1"/>
  <c r="F381" i="2"/>
  <c r="G381" i="2" s="1"/>
  <c r="C22" i="13" l="1"/>
  <c r="F26" i="13"/>
  <c r="E28" i="13" s="1"/>
  <c r="C26" i="13"/>
</calcChain>
</file>

<file path=xl/sharedStrings.xml><?xml version="1.0" encoding="utf-8"?>
<sst xmlns="http://schemas.openxmlformats.org/spreadsheetml/2006/main" count="1337" uniqueCount="655">
  <si>
    <t>Process Ponds - Cost Summary</t>
  </si>
  <si>
    <t/>
  </si>
  <si>
    <t>Labor</t>
  </si>
  <si>
    <t>Equipment</t>
  </si>
  <si>
    <t>Materials</t>
  </si>
  <si>
    <t>Totals</t>
  </si>
  <si>
    <t>Revegetation Costs</t>
  </si>
  <si>
    <t>TOTALS</t>
  </si>
  <si>
    <t>Color Code Key</t>
  </si>
  <si>
    <t>User Input - Direct Input</t>
  </si>
  <si>
    <t>Direct Input</t>
  </si>
  <si>
    <t>User Input - Pull Down List</t>
  </si>
  <si>
    <t>Pull Down Selection</t>
  </si>
  <si>
    <t>Program Constant (can override)</t>
  </si>
  <si>
    <t>Alternate Input</t>
  </si>
  <si>
    <t>Program Calculated Value</t>
  </si>
  <si>
    <t>Locked Cell - Formula or Reference</t>
  </si>
  <si>
    <t>You must fill in ALL green cells and relevant blue cells in this section for each pond</t>
  </si>
  <si>
    <t>Description
(required)</t>
  </si>
  <si>
    <t>Pond
Length</t>
  </si>
  <si>
    <t>Pond
Width</t>
  </si>
  <si>
    <t>ft</t>
  </si>
  <si>
    <r>
      <t>_</t>
    </r>
    <r>
      <rPr>
        <sz val="9"/>
        <rFont val="Arial"/>
        <family val="2"/>
      </rPr>
      <t>H:1V</t>
    </r>
  </si>
  <si>
    <t>acres</t>
  </si>
  <si>
    <t>% grade</t>
  </si>
  <si>
    <t>cy</t>
  </si>
  <si>
    <t>Liner</t>
  </si>
  <si>
    <t>Backfill
Equipment Fleet</t>
  </si>
  <si>
    <t>hrs</t>
  </si>
  <si>
    <t>(select)</t>
  </si>
  <si>
    <t>Gravel</t>
  </si>
  <si>
    <t>Crew Hours</t>
  </si>
  <si>
    <t>Total 
Labor 
Cost</t>
  </si>
  <si>
    <t>Total 
Equipment 
Cost</t>
  </si>
  <si>
    <t>Pond Backfill</t>
  </si>
  <si>
    <t>Backfill Volume</t>
  </si>
  <si>
    <t>Backfill 
Fleet</t>
  </si>
  <si>
    <t>Fleet Productivity</t>
  </si>
  <si>
    <t>Number of Trucks/ Scrapers</t>
  </si>
  <si>
    <t>Total Fleet Hours</t>
  </si>
  <si>
    <t>Total Backfill
 Cost</t>
  </si>
  <si>
    <t>LCY/hr</t>
  </si>
  <si>
    <t>mil</t>
  </si>
  <si>
    <t>Alluvium</t>
  </si>
  <si>
    <t xml:space="preserve">Date of Submittal:  </t>
  </si>
  <si>
    <t xml:space="preserve">Model Version: </t>
  </si>
  <si>
    <t xml:space="preserve">Cost Data File: </t>
  </si>
  <si>
    <t xml:space="preserve">Project Name:  </t>
  </si>
  <si>
    <t>Evaporation Cell- User Input (cont.)</t>
  </si>
  <si>
    <t>Evaporation Cell - User Input</t>
  </si>
  <si>
    <t>Fencing Length</t>
  </si>
  <si>
    <t>Productivity</t>
  </si>
  <si>
    <t>lf/hr</t>
  </si>
  <si>
    <t>Total 
Material
Cost</t>
  </si>
  <si>
    <t>Sludge Removal and Disposal</t>
  </si>
  <si>
    <t>Fencing</t>
  </si>
  <si>
    <t>N/A</t>
  </si>
  <si>
    <t>Cover Volume</t>
  </si>
  <si>
    <t>Dosing Tank</t>
  </si>
  <si>
    <t>Piping Manifold</t>
  </si>
  <si>
    <t xml:space="preserve">Backfill and Coarse Rock Cover </t>
  </si>
  <si>
    <t>Labor                Cost</t>
  </si>
  <si>
    <t>Equipment           Cost</t>
  </si>
  <si>
    <t>Material 
Cost</t>
  </si>
  <si>
    <t>Total Piping Cost</t>
  </si>
  <si>
    <t>Total Pipe Length</t>
  </si>
  <si>
    <t>HLP to Pond to Pond Piping</t>
  </si>
  <si>
    <t>Total Sludge Removal
Cost</t>
  </si>
  <si>
    <t>Total 
Liner Installation
Cost</t>
  </si>
  <si>
    <t>Total 
Key Trench Installation
Cost</t>
  </si>
  <si>
    <t>Existing Pond</t>
  </si>
  <si>
    <t>Liner Area</t>
  </si>
  <si>
    <t>sf</t>
  </si>
  <si>
    <t>Trench Volume</t>
  </si>
  <si>
    <t>Trench Length</t>
  </si>
  <si>
    <t>lf</t>
  </si>
  <si>
    <t>Liner Key Trenching</t>
  </si>
  <si>
    <t>Distance to Disposal Area</t>
  </si>
  <si>
    <t>Include Freeboad and Cover</t>
  </si>
  <si>
    <t>Leak Detection</t>
  </si>
  <si>
    <t>Geonetting Area</t>
  </si>
  <si>
    <t>Total Installation
Cost</t>
  </si>
  <si>
    <t>Ballanced EW for New Ponds</t>
  </si>
  <si>
    <t>Geonetting</t>
  </si>
  <si>
    <t>Primary Liner Instalation</t>
  </si>
  <si>
    <t>New Pond Excavation</t>
  </si>
  <si>
    <t>Secondary Liner Instalation</t>
  </si>
  <si>
    <t>Look into Copper Basin Design</t>
  </si>
  <si>
    <t>Golden Butte 2 cells</t>
  </si>
  <si>
    <t>No Surface Exposure of Water</t>
  </si>
  <si>
    <t>Capillary vs Vados - Consider Both</t>
  </si>
  <si>
    <t>Hard Wire 0.5 feet of sludge in existing Ponds</t>
  </si>
  <si>
    <t>Existing Liner Inspect and Repair</t>
  </si>
  <si>
    <t>Consider Existing Double Liner, 4 possible scenerios</t>
  </si>
  <si>
    <t>Dosing tank using Concrete Construction Mineral Ridge 2000,2500,900</t>
  </si>
  <si>
    <t>Piping Shoud include LE&amp;M for Both 6&amp;4 add excavation</t>
  </si>
  <si>
    <t>Consider Demo and Removal of Pumps, Equipment and Structures in Preg Ponds</t>
  </si>
  <si>
    <t>(2) Sludge Volume</t>
  </si>
  <si>
    <t>(2) Sludge Volume assumes a 0.5 ft layer of sludge on all existing ponds.</t>
  </si>
  <si>
    <t>(4) Equipment           Cost</t>
  </si>
  <si>
    <t>Clay - Dry</t>
  </si>
  <si>
    <t>New Pond</t>
  </si>
  <si>
    <t>Unlined</t>
  </si>
  <si>
    <t>Single Liner</t>
  </si>
  <si>
    <t>Double Liner</t>
  </si>
  <si>
    <t>Existing Liner Inspection and Repair</t>
  </si>
  <si>
    <t>Dosing Tank Installation</t>
  </si>
  <si>
    <t>Fencing, 10' Chain Link, 20' offset from top of slope, includes gates</t>
  </si>
  <si>
    <t>Shale</t>
  </si>
  <si>
    <t>Number of Tanks</t>
  </si>
  <si>
    <t>Subtotal</t>
  </si>
  <si>
    <t>Number
of
Trucks</t>
  </si>
  <si>
    <t>Sludge Removal and Disposal, 5000 gal Vacuum Truck</t>
  </si>
  <si>
    <t>Hard Wire 5000 Pumper Truck for Slugde Disposal</t>
  </si>
  <si>
    <t>Number of Vacuum Trucks</t>
  </si>
  <si>
    <t>Total Labor &amp; Equipment Cost</t>
  </si>
  <si>
    <t>Productivity = Dozer Productivity x Grade Correction x Density Correction x Operator (0.75) x Material x Visibility x Job Efficiency (0.83)</t>
  </si>
  <si>
    <t>Earthwork</t>
  </si>
  <si>
    <t>Regrading
Volume</t>
  </si>
  <si>
    <t>Uncorrected
Dozer
Productivity</t>
  </si>
  <si>
    <t>Grade
Correction</t>
  </si>
  <si>
    <t>Density
Correction</t>
  </si>
  <si>
    <t>Excavating
Material</t>
  </si>
  <si>
    <t>Corrected
Productivity</t>
  </si>
  <si>
    <t>Total Dozer Hours</t>
  </si>
  <si>
    <t>Dozing Material</t>
  </si>
  <si>
    <t>Job Efficiency</t>
  </si>
  <si>
    <t>hr</t>
  </si>
  <si>
    <t>$</t>
  </si>
  <si>
    <t>Excavating Material</t>
  </si>
  <si>
    <t>Material Type</t>
  </si>
  <si>
    <t>Excavating Equipment Fleet</t>
  </si>
  <si>
    <t>Basalt</t>
  </si>
  <si>
    <t>Granite - broken</t>
  </si>
  <si>
    <t>Sandstone</t>
  </si>
  <si>
    <t>LS - broken</t>
  </si>
  <si>
    <t>Trench Excavation</t>
  </si>
  <si>
    <t>Total 
Trench
Cost</t>
  </si>
  <si>
    <t>Total Labor Cost</t>
  </si>
  <si>
    <t>Total Equipment Cost</t>
  </si>
  <si>
    <t>Total    Material 
Cost</t>
  </si>
  <si>
    <t>Trench    Labor 
Cost</t>
  </si>
  <si>
    <t>Trench Equipment 
Cost</t>
  </si>
  <si>
    <t>New Pond Ground Slope</t>
  </si>
  <si>
    <t>HLP to Pond to Pond Double Wall Piping 4" inside 6"Dia Welded HDPE, Trench Excavation 2' Wide x 3' Deep</t>
  </si>
  <si>
    <t>(4) Labor, Equipment and Materials are included for both 6" Welded HDPE and 4" Welded HDPE Pipe</t>
  </si>
  <si>
    <t>(4) Material 
Cost</t>
  </si>
  <si>
    <t>(4)    Labor                Cost</t>
  </si>
  <si>
    <t>Evaporation Ponds - Construction/Grading Costs</t>
  </si>
  <si>
    <t>Additional Disturbance (Not in SRCE)</t>
  </si>
  <si>
    <t>Slope from Source</t>
  </si>
  <si>
    <t>Concrete Volume</t>
  </si>
  <si>
    <t>Pond Depth/Berm Height</t>
  </si>
  <si>
    <t>D11R</t>
  </si>
  <si>
    <t>D10R</t>
  </si>
  <si>
    <t>D9R</t>
  </si>
  <si>
    <t>D8R</t>
  </si>
  <si>
    <t>D7R</t>
  </si>
  <si>
    <t>D6R</t>
  </si>
  <si>
    <t>k</t>
  </si>
  <si>
    <t>p</t>
  </si>
  <si>
    <t>Stone - crushed</t>
  </si>
  <si>
    <t>Tailings - Coarse (dry, loose sand)</t>
  </si>
  <si>
    <t>Tailings - Slimes (loose sand &amp; clay)</t>
  </si>
  <si>
    <t>Topsoil</t>
  </si>
  <si>
    <t>Material Correction Factors</t>
  </si>
  <si>
    <t>Small Truck</t>
  </si>
  <si>
    <t>Large Truck</t>
  </si>
  <si>
    <t>769D Haul Truck Travel Time - Uphill Empty</t>
  </si>
  <si>
    <t>Total Resistance (%)
(rolling + grade)</t>
  </si>
  <si>
    <t>Time (min)</t>
  </si>
  <si>
    <t>777D Haul Truck Travel Time - Uphill Loaded</t>
  </si>
  <si>
    <t>769D Haul Truck Travel Time - Uphill Loaded</t>
  </si>
  <si>
    <t>777D Haul Truck Travel Time - Uphill Empty</t>
  </si>
  <si>
    <t>Large Truck/Loader Fleet</t>
  </si>
  <si>
    <t>777D</t>
  </si>
  <si>
    <t>992G</t>
  </si>
  <si>
    <t>Small Truck/Loader Fleet</t>
  </si>
  <si>
    <t>769D</t>
  </si>
  <si>
    <t>988G</t>
  </si>
  <si>
    <t xml:space="preserve">Truck </t>
  </si>
  <si>
    <t>Loader</t>
  </si>
  <si>
    <t>Dozer</t>
  </si>
  <si>
    <t>Wheel Loader Specifications</t>
  </si>
  <si>
    <t>Description</t>
  </si>
  <si>
    <t>Payload Capacity</t>
  </si>
  <si>
    <t>Struck</t>
  </si>
  <si>
    <t>Heaped</t>
  </si>
  <si>
    <t>Average</t>
  </si>
  <si>
    <t>Matched Truck</t>
  </si>
  <si>
    <t>Average Cycle Time</t>
  </si>
  <si>
    <t>Passes to Fill Truck</t>
  </si>
  <si>
    <t>Time to Fill Truck</t>
  </si>
  <si>
    <t>Rolling Resistance**</t>
  </si>
  <si>
    <t>Haul Truck Specifications</t>
  </si>
  <si>
    <t>Chassis Weight</t>
  </si>
  <si>
    <t>Body Weight</t>
  </si>
  <si>
    <t>Standard Liner Weight</t>
  </si>
  <si>
    <t>Total Truck Weight</t>
  </si>
  <si>
    <t>Maneuver to Load Time</t>
  </si>
  <si>
    <t>Maneuver and Dump Time</t>
  </si>
  <si>
    <t>**A firm, smooth, rolling roadway with dirt or light surfacing, flexing slightly under load or undulating, maintained fairly regularly, watered</t>
  </si>
  <si>
    <t xml:space="preserve">Source: Caterpillar Performance Handbook Edition 35  </t>
  </si>
  <si>
    <t>Weight of Materials</t>
  </si>
  <si>
    <t>Downhill Haul Truck Speed - Grade Retarding vs. Effective Grade (Grade - Rolling Resistance)</t>
  </si>
  <si>
    <t>Material</t>
  </si>
  <si>
    <t>lb/cy</t>
  </si>
  <si>
    <t>Truck (769D) Load lb</t>
  </si>
  <si>
    <t>Truck (777D) Load lb</t>
  </si>
  <si>
    <t>Loaded Weight (lbs)</t>
  </si>
  <si>
    <t>LS - crushed</t>
  </si>
  <si>
    <t>Empty</t>
  </si>
  <si>
    <t>Include Multiple Handeling for Backfill</t>
  </si>
  <si>
    <t>Total</t>
  </si>
  <si>
    <t>Truck</t>
  </si>
  <si>
    <t>Grading assumed on impoundment surface only, not embankment</t>
  </si>
  <si>
    <t>Dozing density correction based on dry sand = 2300/2400 = 0.96</t>
  </si>
  <si>
    <t>Slope assumed to be 0 to 5% (1.0 productivity factor)</t>
  </si>
  <si>
    <t>Equip</t>
  </si>
  <si>
    <t>Dozer Productivity Corrections</t>
  </si>
  <si>
    <t>Operator</t>
  </si>
  <si>
    <t>Grade</t>
  </si>
  <si>
    <t>Total Factor</t>
  </si>
  <si>
    <t>Density</t>
  </si>
  <si>
    <t>Backfill  Source
Material</t>
  </si>
  <si>
    <t>Heap Crushed</t>
  </si>
  <si>
    <t>Heap Pit Run</t>
  </si>
  <si>
    <t>Number of Trucks</t>
  </si>
  <si>
    <t>Trucks</t>
  </si>
  <si>
    <t>Comments:</t>
  </si>
  <si>
    <t>Growth Media</t>
  </si>
  <si>
    <t>Growth Media Thickness</t>
  </si>
  <si>
    <t>Distance from Growth Media Stockpile</t>
  </si>
  <si>
    <t>in</t>
  </si>
  <si>
    <t>Seed Mix</t>
  </si>
  <si>
    <t>Mulch</t>
  </si>
  <si>
    <t>Fertilizer</t>
  </si>
  <si>
    <t>Flat Area</t>
  </si>
  <si>
    <t>Revegetation                Labor                Cost</t>
  </si>
  <si>
    <t>Revegetation         Equipment           Cost</t>
  </si>
  <si>
    <t>Total Revegetation Cost</t>
  </si>
  <si>
    <t>(ft)</t>
  </si>
  <si>
    <t>Total Growth Media Cost</t>
  </si>
  <si>
    <t>Slope from Facility to GM Stockpile</t>
  </si>
  <si>
    <t>Growth Media Fleet</t>
  </si>
  <si>
    <t>Scarify/Rip?</t>
  </si>
  <si>
    <t>Seed</t>
  </si>
  <si>
    <t>$/ac</t>
  </si>
  <si>
    <t>Ripping Fleet</t>
  </si>
  <si>
    <t>Under Drain Pipe Manifold Installation 4"Dia @ 10' oc</t>
  </si>
  <si>
    <t>Haul Distance (Loads) Requiring Water Truck and Grader</t>
  </si>
  <si>
    <t>Individual Pond Cost Summary</t>
  </si>
  <si>
    <t>File Name:</t>
  </si>
  <si>
    <t>$/cy</t>
  </si>
  <si>
    <t>$/lf</t>
  </si>
  <si>
    <t>$/sf</t>
  </si>
  <si>
    <t>Distance from Backfill Borrow</t>
  </si>
  <si>
    <t>HLP-Pond-Pond Piping</t>
  </si>
  <si>
    <t>Piping Description</t>
  </si>
  <si>
    <t>Distance from HLP to Pond</t>
  </si>
  <si>
    <t>Distance to Next Ponds</t>
  </si>
  <si>
    <t>(BR)Total 
Labor 
Cost</t>
  </si>
  <si>
    <t>Liners and GeoNetting costs include additional 15% for Installation QA/QC</t>
  </si>
  <si>
    <t>Pond to Pond Coffer Dam</t>
  </si>
  <si>
    <t>Wrap Arround Pond</t>
  </si>
  <si>
    <t>(2) Max Berm Height at Center of Berm to Natural Ground, Assume Minimum Emb. Width 20 feet</t>
  </si>
  <si>
    <t>Yes</t>
  </si>
  <si>
    <t>Mix 1</t>
  </si>
  <si>
    <t>No</t>
  </si>
  <si>
    <t>Sludge Removal Productivity</t>
  </si>
  <si>
    <t>=SV/[({2*Dist/5280/7}*SV/24.76)+(0.75*SV/24.76)]</t>
  </si>
  <si>
    <t>SV=Sludge Volume (cy)</t>
  </si>
  <si>
    <t>Dist=Distance to Disposal Site (ft)</t>
  </si>
  <si>
    <t>5000 gallon Vacuum Truck = 24.76 cy</t>
  </si>
  <si>
    <t xml:space="preserve">Assume average speed of Vacuum Truck for trip=7 mph </t>
  </si>
  <si>
    <t>SV/24.76 = Total Number of Round Trips to Clear the Sludge</t>
  </si>
  <si>
    <t xml:space="preserve">Assume 0.75 hrs for total Load, Unload and Maneuver time per trip (hrs) </t>
  </si>
  <si>
    <t>Example:</t>
  </si>
  <si>
    <t>Sludge Volume = 2573 cy</t>
  </si>
  <si>
    <t>Disposal Distance = 2000 feet</t>
  </si>
  <si>
    <t>Productivity = 29.1 cy/hr</t>
  </si>
  <si>
    <t>Fleet Hours = 2573cy/29.1cy/hr = 88.4hr</t>
  </si>
  <si>
    <t xml:space="preserve">Cost from “SRCE”, “Misc. Unit Cost” Tab,  Cell  “G78”, Vacuum Truck Pickup (5000 gal) =$157.00/hr </t>
  </si>
  <si>
    <t>Sludge Removal Cost Total = $13,878</t>
  </si>
  <si>
    <t>Dozing
Distance
(see above)</t>
  </si>
  <si>
    <t xml:space="preserve">  </t>
  </si>
  <si>
    <t xml:space="preserve">Cost Data Date: </t>
  </si>
  <si>
    <t>Fleet Hours</t>
  </si>
  <si>
    <t>Ripping Fleets</t>
  </si>
  <si>
    <t>Grader</t>
  </si>
  <si>
    <t>Seed Mixes</t>
  </si>
  <si>
    <t>Mix 2</t>
  </si>
  <si>
    <t>Mix 3</t>
  </si>
  <si>
    <t>User Mix 1</t>
  </si>
  <si>
    <t>User Mix 2</t>
  </si>
  <si>
    <t>User Mix 3</t>
  </si>
  <si>
    <t>User Mix 4</t>
  </si>
  <si>
    <t>Guide Notes:</t>
  </si>
  <si>
    <t>Miscelaneous</t>
  </si>
  <si>
    <t xml:space="preserve">Revegetation </t>
  </si>
  <si>
    <t>Evaporation Cell- User Input (cont.) Flat Areas Second Generation Considerations</t>
  </si>
  <si>
    <t>Set as stand alone Calculator no direct tie to SRCE</t>
  </si>
  <si>
    <t>Link to  SRCE cost data file only with internal productivities</t>
  </si>
  <si>
    <t>Add leachfield cost</t>
  </si>
  <si>
    <t>Revise to reflect new primary liner regardless of age of existing primary.</t>
  </si>
  <si>
    <t>Revisions/Additions Punch List:</t>
  </si>
  <si>
    <t>Guide Notes and Assumptions:</t>
  </si>
  <si>
    <t>•New Construction:</t>
  </si>
  <si>
    <t>•Quantify Earthwork to construct new pond – Layout</t>
  </si>
  <si>
    <t>•Converting existing pond(s) to E-cells</t>
  </si>
  <si>
    <t>•Unlined, Single, Double Liners</t>
  </si>
  <si>
    <t>•Sludge removal and disposal:</t>
  </si>
  <si>
    <t>•Assume minimum 0.5’ depth of sludge in existing ponds will need to be removed and disposed of on  double lined containment</t>
  </si>
  <si>
    <t>•Inspect and repair existing liner systems</t>
  </si>
  <si>
    <t>•Primary liner installation</t>
  </si>
  <si>
    <t>•Secondary liner installation with geo-net and leak detection port</t>
  </si>
  <si>
    <t>•Liner key in trenching around perimeter</t>
  </si>
  <si>
    <t>•Dosing tank, assume 1 dosing tank required in each E-cell</t>
  </si>
  <si>
    <t xml:space="preserve">Assumptions: </t>
  </si>
  <si>
    <t>•Drain/Distribution Manifold Piping</t>
  </si>
  <si>
    <t>•Backfill and Coarse Rock Cover:</t>
  </si>
  <si>
    <t>•2’ Freeboard Above Backfill</t>
  </si>
  <si>
    <t>•All backfill will originate on-site from a leach pad or waste rock dump</t>
  </si>
  <si>
    <t>•Entire backfill volume will need to be sized (screen or grizzly) at borrow site</t>
  </si>
  <si>
    <t>•Piping:</t>
  </si>
  <si>
    <t>•Heap to E-cell will be pipe-in-pipe HDPE, and buried to protect from UV.</t>
  </si>
  <si>
    <t>•Pond to Pond will be pipe-in-pipe HDPE, and buried to protect from UV.</t>
  </si>
  <si>
    <t>•Wildlife Fencing Around Perimeter:</t>
  </si>
  <si>
    <t>•Any existing fencing will need full replacement</t>
  </si>
  <si>
    <t>•Growth media:</t>
  </si>
  <si>
    <t>•No Growth Media included in E-Cell Estimate</t>
  </si>
  <si>
    <t>•Coverage sloped to drain if constructing an ET cell, Possible future addition</t>
  </si>
  <si>
    <t>•Haul distances and slopes from site mapping for haulage activities.</t>
  </si>
  <si>
    <t xml:space="preserve">•SRCE cost data for labor, equipment, materials </t>
  </si>
  <si>
    <t>•Caterpillar Equipment manual - equipment productivities</t>
  </si>
  <si>
    <t>•Construction Management</t>
  </si>
  <si>
    <t>•Long Term Water Chemistry Sampling , Monitoring and Reporting</t>
  </si>
  <si>
    <t>Revegetation</t>
  </si>
  <si>
    <t>Leach Field</t>
  </si>
  <si>
    <t>Peizo Well</t>
  </si>
  <si>
    <t>Bottom (Secondary) Liner  Installation (New Pond or Unlined Only)</t>
  </si>
  <si>
    <t>Top (Primary) Liner Installation</t>
  </si>
  <si>
    <t>Calculates cost for primary liner regardless of age or condition of existing primary liner.</t>
  </si>
  <si>
    <t>Cost based on Jan 2011 Quote from Jensen Precast, FOB Elko</t>
  </si>
  <si>
    <t>Source (SRCE)</t>
  </si>
  <si>
    <t>Cost based on assumption that it is 1/2 liner installation cost.</t>
  </si>
  <si>
    <t>Earthwork for Ring dike for Slope 0-10%, Earthwork for valley fill for slope over 10%</t>
  </si>
  <si>
    <t>2'x2' trench</t>
  </si>
  <si>
    <t>4 in diam perf ploy pipe at 10 feet on center.</t>
  </si>
  <si>
    <t xml:space="preserve">Failsafe overflow device, 100 lf 4 in dia perf poly pipe, 3 ft deep in 2 ft wide trench, backfilled with clean gravel. </t>
  </si>
  <si>
    <t>Minimum 12 inch dia. perforated poly pipe from bottom liner to 3ft above backfill. Includes locking lid assembly.</t>
  </si>
  <si>
    <t>Assumes 0.5 feet of accumulated sludge to be removed. Disposal on site in 2x liner at HLP or TSF.</t>
  </si>
  <si>
    <t>Screened HLP, WRD or alluvial material, source is on site.</t>
  </si>
  <si>
    <t xml:space="preserve">4 in diam in 6 in diam welded pipe </t>
  </si>
  <si>
    <t>Add Construction Management</t>
  </si>
  <si>
    <t>Add Mob-Demob Equipment List</t>
  </si>
  <si>
    <t>Add Sampling, Monitoring and Reporting</t>
  </si>
  <si>
    <t>Red items need attention</t>
  </si>
  <si>
    <t>Resolution:</t>
  </si>
  <si>
    <t>Three times needed volume for backfill cost as loader manover to load and manover to dump.</t>
  </si>
  <si>
    <t>Minimum 2 feet freeboard included as input item.</t>
  </si>
  <si>
    <t>Included as cost for geonetting</t>
  </si>
  <si>
    <t>Calculates same volume as SRCE for slopes &gt; 10%</t>
  </si>
  <si>
    <t>Screen material not specific to size. Not able to include specificlly.</t>
  </si>
  <si>
    <t>Included with cost from SRCE for 5000 gal vac per hour using hrs as travel time to  disposal location on site</t>
  </si>
  <si>
    <t>Done</t>
  </si>
  <si>
    <t>Clark West, liner repair  estimates Sierra Geosynthetics Fernley</t>
  </si>
  <si>
    <t>No usable information was derived for conversation with Sales Rep.</t>
  </si>
  <si>
    <t>Consider Radial Stacker for Load and Place in the Pond</t>
  </si>
  <si>
    <t>Considered, not used, RS costs not in SRCE, Used dozer to push fill into pond</t>
  </si>
  <si>
    <t>Add drop downs for help with the inputs and explaine outputs.</t>
  </si>
  <si>
    <t>Compile giuide notes as front page to E-Cell Calculator.</t>
  </si>
  <si>
    <t>Find cost of dosing tank, Local and Means</t>
  </si>
  <si>
    <t>Revse dosing tank cost to reflect Means or Jensen Precast Quote</t>
  </si>
  <si>
    <t>Backfill Fleet</t>
  </si>
  <si>
    <t>`</t>
  </si>
  <si>
    <t>631G</t>
  </si>
  <si>
    <t>Scraper/Dozer Fleet</t>
  </si>
  <si>
    <t>Scraper</t>
  </si>
  <si>
    <t>637G PP</t>
  </si>
  <si>
    <t>Pond Excavating Fleet</t>
  </si>
  <si>
    <t>Large Excavator + Dozer</t>
  </si>
  <si>
    <t>385BL</t>
  </si>
  <si>
    <t>Medium Excavator + Dozer</t>
  </si>
  <si>
    <t>345B</t>
  </si>
  <si>
    <t>Small Excavator + Dozer</t>
  </si>
  <si>
    <t>325C</t>
  </si>
  <si>
    <t>Excavator</t>
  </si>
  <si>
    <t>16G/H</t>
  </si>
  <si>
    <t>Ripping/Scarifying Fleet</t>
  </si>
  <si>
    <t>Loaders</t>
  </si>
  <si>
    <t>Dozers</t>
  </si>
  <si>
    <t>Excavators</t>
  </si>
  <si>
    <t>Scrapers</t>
  </si>
  <si>
    <t>637G</t>
  </si>
  <si>
    <t>Graders</t>
  </si>
  <si>
    <t>Feeboard</t>
  </si>
  <si>
    <t>Slope from Facility to Borrow Area</t>
  </si>
  <si>
    <t>Screening
Fleet</t>
  </si>
  <si>
    <t>Total Screening
 Cost</t>
  </si>
  <si>
    <t>Backfill Material Screening</t>
  </si>
  <si>
    <t>Backfill Screening Fleet</t>
  </si>
  <si>
    <t>Medium Dozer w/multi-shank</t>
  </si>
  <si>
    <t>Small Dozer w/multi-shank</t>
  </si>
  <si>
    <t>Large Dozer w/multi-shank</t>
  </si>
  <si>
    <t>Grader w/multi-shank</t>
  </si>
  <si>
    <t>Large Loader Fleet</t>
  </si>
  <si>
    <t>Growth Media Equipment Fleet</t>
  </si>
  <si>
    <t>Growth Media 
Material</t>
  </si>
  <si>
    <t>Screening
Equipment Fleet</t>
  </si>
  <si>
    <t>966G</t>
  </si>
  <si>
    <t>Medium Loader Fleet</t>
  </si>
  <si>
    <t>Small Loader Fleet</t>
  </si>
  <si>
    <t>Top Speed (Loaded)</t>
  </si>
  <si>
    <t>Unit Costs</t>
  </si>
  <si>
    <t>Labor:</t>
  </si>
  <si>
    <t>Equipment:</t>
  </si>
  <si>
    <t>Materials:</t>
  </si>
  <si>
    <t>16GH</t>
  </si>
  <si>
    <t>Vacuume Truck</t>
  </si>
  <si>
    <t>Misc.</t>
  </si>
  <si>
    <t>Labor ($/hr)</t>
  </si>
  <si>
    <t>Equipment ($/hr)</t>
  </si>
  <si>
    <t>Total ($/hr)</t>
  </si>
  <si>
    <t>Skilled Laborer</t>
  </si>
  <si>
    <t>HDEP Welder (pipe or liner)</t>
  </si>
  <si>
    <t>420D 4WD Backhoe</t>
  </si>
  <si>
    <t>80mil HDPE Liner</t>
  </si>
  <si>
    <t>Finish grading large area</t>
  </si>
  <si>
    <t>2310-100-0100</t>
  </si>
  <si>
    <t>S.F.</t>
  </si>
  <si>
    <t>B-11L</t>
  </si>
  <si>
    <t>Compaction - riding, vibrating roller - 12" lifts</t>
  </si>
  <si>
    <t>2315-310-5080</t>
  </si>
  <si>
    <t>B-10Y</t>
  </si>
  <si>
    <t xml:space="preserve">60 mil HDPE </t>
  </si>
  <si>
    <t>2660-610-1200</t>
  </si>
  <si>
    <t>3 Skwk</t>
  </si>
  <si>
    <t>TOTAL</t>
  </si>
  <si>
    <t>PM</t>
  </si>
  <si>
    <t>GET</t>
  </si>
  <si>
    <t>Tires</t>
  </si>
  <si>
    <t>Fuel</t>
  </si>
  <si>
    <t>Hourly Equipment Rate</t>
  </si>
  <si>
    <t>Pond Lining Fleet</t>
  </si>
  <si>
    <t>Backhoe</t>
  </si>
  <si>
    <t>420C</t>
  </si>
  <si>
    <t>Backhoes</t>
  </si>
  <si>
    <t>BCY</t>
  </si>
  <si>
    <t>Backhoe work</t>
  </si>
  <si>
    <t>02210-700-0120</t>
  </si>
  <si>
    <t>C.Y.</t>
  </si>
  <si>
    <t>B-11M</t>
  </si>
  <si>
    <t>Means No.</t>
  </si>
  <si>
    <t>Unit</t>
  </si>
  <si>
    <t>Crew</t>
  </si>
  <si>
    <t>Output/Day</t>
  </si>
  <si>
    <t>Grade walls - 15 in (40 cm) thick, 8 ft ( 2.5 m) high</t>
  </si>
  <si>
    <t>03310-240-4300</t>
  </si>
  <si>
    <t>C-14D</t>
  </si>
  <si>
    <t>L.F.</t>
  </si>
  <si>
    <t>Drain 4in (10cm) corrugated, perf or plain</t>
  </si>
  <si>
    <t>02220-220-2960</t>
  </si>
  <si>
    <t>2 Clab</t>
  </si>
  <si>
    <t>Water 6in (15cm) 40ft (12m) length, welded HDPE</t>
  </si>
  <si>
    <t>02510-760-0200</t>
  </si>
  <si>
    <t>B-22A</t>
  </si>
  <si>
    <t>Water 4in (10cm ) 40ft (12m) length, welded HDPE</t>
  </si>
  <si>
    <t>02510-760-0100</t>
  </si>
  <si>
    <t>Chain link 8-10ft (2.5-3m) Install</t>
  </si>
  <si>
    <t>02820-130-0920</t>
  </si>
  <si>
    <t>B-80C</t>
  </si>
  <si>
    <t>Fence</t>
  </si>
  <si>
    <t>Piping</t>
  </si>
  <si>
    <t>420D Backhoe</t>
  </si>
  <si>
    <t>777D 992G D7R</t>
  </si>
  <si>
    <t>769D 988G D7R</t>
  </si>
  <si>
    <t>631G D10R D7R</t>
  </si>
  <si>
    <t>637G D7R</t>
  </si>
  <si>
    <t>D7R Dozer</t>
  </si>
  <si>
    <t>D9R Dozer</t>
  </si>
  <si>
    <t>D10R Dozer</t>
  </si>
  <si>
    <t>16G/H Grader</t>
  </si>
  <si>
    <t>Screening Fleet</t>
  </si>
  <si>
    <t>Pond Ex Fleet</t>
  </si>
  <si>
    <t>Excavation Fleet</t>
  </si>
  <si>
    <t>Seeding - Broadcast Mechanical (1)</t>
  </si>
  <si>
    <t>Cost/Acre</t>
  </si>
  <si>
    <t>None</t>
  </si>
  <si>
    <t>Basins</t>
  </si>
  <si>
    <t>Low Hills</t>
  </si>
  <si>
    <t>Uplands</t>
  </si>
  <si>
    <t>Mix 4</t>
  </si>
  <si>
    <t>Riparian or Custom</t>
  </si>
  <si>
    <t>Straw Mulch</t>
  </si>
  <si>
    <t>Hydro Mulch</t>
  </si>
  <si>
    <t>Item</t>
  </si>
  <si>
    <t>Cost/lb</t>
  </si>
  <si>
    <t>lbs/Acre</t>
  </si>
  <si>
    <t>Organic Matter</t>
  </si>
  <si>
    <t>Chemical</t>
  </si>
  <si>
    <t>Ammenities</t>
  </si>
  <si>
    <t>User Mix 5</t>
  </si>
  <si>
    <t>Mulches</t>
  </si>
  <si>
    <t xml:space="preserve">Organic </t>
  </si>
  <si>
    <t>Unit Cost</t>
  </si>
  <si>
    <t>Growth Media/Cover Costs</t>
  </si>
  <si>
    <t>Crew: 3 SKWK</t>
  </si>
  <si>
    <t>Rates: ($/hr)</t>
  </si>
  <si>
    <t>Poly Liner Instalation/Inspection/Repair</t>
  </si>
  <si>
    <t>Cost Basis Category:</t>
  </si>
  <si>
    <t>Screening for Backfill</t>
  </si>
  <si>
    <t>Normal</t>
  </si>
  <si>
    <t>Productivity = Excavator Productivity x Grade Correction x Density Correction x Operator (0.75) x Material x Visibility x Job Efficiency (0.83)</t>
  </si>
  <si>
    <t>Small Fleet</t>
  </si>
  <si>
    <t>Large Fleet</t>
  </si>
  <si>
    <t>Facility:</t>
  </si>
  <si>
    <t>Location:</t>
  </si>
  <si>
    <t>Operator:</t>
  </si>
  <si>
    <t>Fleet:</t>
  </si>
  <si>
    <t>Select Fleet</t>
  </si>
  <si>
    <t>Prepared By:</t>
  </si>
  <si>
    <t>SubmittalDate:</t>
  </si>
  <si>
    <t>Ex Pond Config:</t>
  </si>
  <si>
    <t>Distance to Material Source (ft)</t>
  </si>
  <si>
    <t>Slope to Material Source (%)</t>
  </si>
  <si>
    <t>Assumptions:</t>
  </si>
  <si>
    <t>User Notes:</t>
  </si>
  <si>
    <t>3) Large Fleet: 777D Truck,385BL Loader, 988C Excavator, D10R Dozer, D7R Dozer</t>
  </si>
  <si>
    <t>2) Small Fleet: 769D Truck,325C Loader, 966C Excavator, D9R Dozer, D7R Dozer</t>
  </si>
  <si>
    <t xml:space="preserve">4) Excavation, Backfill, Cover, Ripping, Growth Medium and Grading materials are based on Alluvium properties and are from the same source location. </t>
  </si>
  <si>
    <t>7) Mix 2, "Low Hills" is used for revegitation seed mix.</t>
  </si>
  <si>
    <t>11) Includes installation costs for distributing piping.</t>
  </si>
  <si>
    <t>6) Growth Medium/Cover is 24 inches over the stated pond area.</t>
  </si>
  <si>
    <t>5) Includes revegitation cost over stated pond area.</t>
  </si>
  <si>
    <t>9) Includes installation cost for new heap to pond double wall pipe.</t>
  </si>
  <si>
    <t>10) Includes installation cost for one 1500 gallon dosing tank.</t>
  </si>
  <si>
    <t>12) Includes costs for inspection, repair and removal of 1/2 foot of sludge on existing lined ponds.</t>
  </si>
  <si>
    <t>13) Includes excavation costs for new ponds.</t>
  </si>
  <si>
    <t>15) New liner installation includes cost for a key trench</t>
  </si>
  <si>
    <t>8) Includes installation costs for 10 foot high chain link perimiter fencing setback 20 feet. Perimiter is 4x square root of the area.</t>
  </si>
  <si>
    <t>14) Includes  installation costs for double liners with geonetting on new and unlined ponds, a single liner, geonetting on single lined ponds, and no liner cost on existing double lined ponds.</t>
  </si>
  <si>
    <t>Summary</t>
  </si>
  <si>
    <t xml:space="preserve">Average Cost = </t>
  </si>
  <si>
    <t>Unemployment (%)</t>
  </si>
  <si>
    <t>Retirement/SS/Medicare (%)</t>
  </si>
  <si>
    <t>Workman's Compensation (%)</t>
  </si>
  <si>
    <t>Fuel Price/ gal</t>
  </si>
  <si>
    <t>Cons g/hr</t>
  </si>
  <si>
    <t>.</t>
  </si>
  <si>
    <t>Pond Area (ac)</t>
  </si>
  <si>
    <t>Pond Depth (ft)</t>
  </si>
  <si>
    <r>
      <t>Pond Physical Dimensions</t>
    </r>
    <r>
      <rPr>
        <vertAlign val="superscript"/>
        <sz val="12"/>
        <rFont val="Arial"/>
        <family val="2"/>
      </rPr>
      <t xml:space="preserve"> (1)</t>
    </r>
  </si>
  <si>
    <t>Screen Material</t>
  </si>
  <si>
    <t>%</t>
  </si>
  <si>
    <t>New Pond Parameters</t>
  </si>
  <si>
    <t>Material Correction</t>
  </si>
  <si>
    <t>New Pond Crest Width, Min 20'</t>
  </si>
  <si>
    <t>Key Trench 2' wide by 3'deep centered 4' from top of liner slope</t>
  </si>
  <si>
    <t>Liner Key Trench</t>
  </si>
  <si>
    <t>Screening Productivity</t>
  </si>
  <si>
    <t>Pond Backfill Haul and Place</t>
  </si>
  <si>
    <t>725D</t>
  </si>
  <si>
    <t xml:space="preserve"> Screening Unit Cost</t>
  </si>
  <si>
    <t xml:space="preserve"> Total Unit Cost</t>
  </si>
  <si>
    <t>Backfill Material</t>
  </si>
  <si>
    <r>
      <t>Pond Screening and Backfill</t>
    </r>
    <r>
      <rPr>
        <vertAlign val="superscript"/>
        <sz val="12"/>
        <rFont val="Arial"/>
        <family val="2"/>
      </rPr>
      <t xml:space="preserve"> (1)</t>
    </r>
  </si>
  <si>
    <t>Volume to Screen</t>
  </si>
  <si>
    <t>Downhill Empty (-2.5%)</t>
  </si>
  <si>
    <t xml:space="preserve">Uphill Loaded (+2.5%) </t>
  </si>
  <si>
    <t>Uphill Empty (+2.5%)</t>
  </si>
  <si>
    <t>DHE</t>
  </si>
  <si>
    <t>DHL</t>
  </si>
  <si>
    <t>UHE</t>
  </si>
  <si>
    <t>UHL</t>
  </si>
  <si>
    <t>abs slope</t>
  </si>
  <si>
    <t>Travel Time</t>
  </si>
  <si>
    <t>UH slope</t>
  </si>
  <si>
    <t>DH Slope</t>
  </si>
  <si>
    <t>Man Load</t>
  </si>
  <si>
    <t>Load</t>
  </si>
  <si>
    <t>Man Dump</t>
  </si>
  <si>
    <t>Cycle Time</t>
  </si>
  <si>
    <t># Trucks</t>
  </si>
  <si>
    <t>Truck Prod</t>
  </si>
  <si>
    <t>Fleet Prod</t>
  </si>
  <si>
    <t>Hrs</t>
  </si>
  <si>
    <t>Growth Media Truck Speed Table</t>
  </si>
  <si>
    <t>Screened Material Truck Speed Table</t>
  </si>
  <si>
    <t>Growth Media Truck Time Calculations</t>
  </si>
  <si>
    <t>Haul Distance</t>
  </si>
  <si>
    <t>Screened Material Truck Time Calculations</t>
  </si>
  <si>
    <t>Down Hill Loaded (-2.5%) Based on Gravel</t>
  </si>
  <si>
    <t>Considered, Not Used</t>
  </si>
  <si>
    <t xml:space="preserve">Considered, Not Used, Minor cost assumed to be included </t>
  </si>
  <si>
    <t>Considered, Not Used, Captured in SRCE</t>
  </si>
  <si>
    <t>Individual Pond Summaries</t>
  </si>
  <si>
    <t>Primary Liner Installation</t>
  </si>
  <si>
    <t>Secondary Liner Installation</t>
  </si>
  <si>
    <t>Pond
Side slope
Angle</t>
  </si>
  <si>
    <t>(1)  Existing or Proposed Pond Dimensions</t>
  </si>
  <si>
    <t>Fleet Override User Input</t>
  </si>
  <si>
    <t>Average Long Dimension (rip dist.)</t>
  </si>
  <si>
    <t>Slope to Disposal Area</t>
  </si>
  <si>
    <t>Total Const./ Regrading Cost</t>
  </si>
  <si>
    <t>Total 
Dosing Tank Installation
Cost</t>
  </si>
  <si>
    <t>Based on Mineral Ridge dosing tank at $5,457, 19 cy of RCC in SRCE approximates this value</t>
  </si>
  <si>
    <t>Average push distance assumed to be 2/3 of the 600 feet maximum from Caterpillar Handbook or 400 feet</t>
  </si>
  <si>
    <t>Material assumed to be loose stockpile (1.2 productivity factor)</t>
  </si>
  <si>
    <t>HDPE Pipe installation</t>
  </si>
  <si>
    <t>Total 
Fence Installation
Cost</t>
  </si>
  <si>
    <t>Cover Replacement Fleet</t>
  </si>
  <si>
    <t>Revegetation
Material 
Cost</t>
  </si>
  <si>
    <t>Tandem Scraper Fleet</t>
  </si>
  <si>
    <t xml:space="preserve">Mobilization/Demobilization </t>
  </si>
  <si>
    <t>Material Screening for Backfill</t>
  </si>
  <si>
    <t>Screen and BF Total 
 Cost</t>
  </si>
  <si>
    <t>HLP to Pond to Pond Piping  Total Cost (Continued)</t>
  </si>
  <si>
    <t>Use for any disturbed areas requiring revegetation that are not already included in a SRCE.</t>
  </si>
  <si>
    <t>Ten foot tall chain link set back from crest of pond 20 feet. Assume any existing fence requires replacement. Cost includes gates.</t>
  </si>
  <si>
    <t>80 mil HDPE</t>
  </si>
  <si>
    <t>Vender Quote Attached</t>
  </si>
  <si>
    <t>Add Scarify and Ripping Option</t>
  </si>
  <si>
    <t>Not sure what this is</t>
  </si>
  <si>
    <t>Bulldozer Productivity Factors Table</t>
  </si>
  <si>
    <t>Loose Stock Pile</t>
  </si>
  <si>
    <t>Cost based on assumption that labor and equipment are same as liner. Materials are 1/2- 60mil liner cost.</t>
  </si>
  <si>
    <t xml:space="preserve">Facility Name:  </t>
  </si>
  <si>
    <t>Operators  ID Code</t>
  </si>
  <si>
    <t>New Pond Max Emb. Height</t>
  </si>
  <si>
    <r>
      <t>Processing Material Losses</t>
    </r>
    <r>
      <rPr>
        <vertAlign val="superscript"/>
        <sz val="10"/>
        <rFont val="Arial"/>
        <family val="2"/>
      </rPr>
      <t>(3)</t>
    </r>
  </si>
  <si>
    <t>Fencing Condition</t>
  </si>
  <si>
    <t>Existing Fence Condition</t>
  </si>
  <si>
    <t>New &lt; 5 yrs</t>
  </si>
  <si>
    <t>Poor &gt;10 yrs</t>
  </si>
  <si>
    <t>Fair 5 yrs -10 yrs</t>
  </si>
  <si>
    <t>Fair Condition Fence Calculates 50% total fence length installation for repair and replacement</t>
  </si>
  <si>
    <t>No New Fence</t>
  </si>
  <si>
    <t xml:space="preserve">No New Fence calculates no cost for fence installation.  Assumes wildlife fence not required. </t>
  </si>
  <si>
    <t>New Fence calculates 25% cost for fence installation or repair. Assumes some minor construction damage.</t>
  </si>
  <si>
    <t>Blank or Poor Condition Fence calculates cost for full fence installation.</t>
  </si>
  <si>
    <t xml:space="preserve">60 mil HDPE Drain Liner </t>
  </si>
  <si>
    <t>40 mil HDPE</t>
  </si>
  <si>
    <t xml:space="preserve">40 mil LLDPE </t>
  </si>
  <si>
    <t>12/12 AGRU Quote</t>
  </si>
  <si>
    <t>Geonetting; Labor, Equip and Material Cost Assumed to be 90% cost on 60 mil HDPE.</t>
  </si>
  <si>
    <t>Secondary Liners</t>
  </si>
  <si>
    <t>Primary Liners</t>
  </si>
  <si>
    <t xml:space="preserve">Primary Liner </t>
  </si>
  <si>
    <t>Secondary Liner</t>
  </si>
  <si>
    <t>cy/hr</t>
  </si>
  <si>
    <t>Northern Nevada</t>
  </si>
  <si>
    <t>1) Labor, Equipment and Material Prices are based on 2018 SRCE Cost Data. Cost Basis is Northern Nevada, Mine Plan of Operations, Public/Public Private, Standardized Data.</t>
  </si>
  <si>
    <t>SRCE_Cost_Data_File_1_12_Std_2018.xlsm</t>
  </si>
  <si>
    <t>1.0.0 Beta 08.01.18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</si>
</sst>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"/>
    <numFmt numFmtId="169" formatCode="_(* #,##0_);_(* \(#,##0\);_(* &quot;-&quot;??_);_(@_)"/>
    <numFmt numFmtId="170" formatCode="0.0%"/>
    <numFmt numFmtId="171" formatCode="#,##0.0_);\(#,##0.0\)"/>
    <numFmt numFmtId="172" formatCode="&quot;$&quot;#,##0;[Red]&quot;$&quot;#,##0"/>
    <numFmt numFmtId="173" formatCode="&quot;$&quot;#,##0"/>
    <numFmt numFmtId="174" formatCode="0.0&quot;%&quot;"/>
    <numFmt numFmtId="175" formatCode="0.000"/>
    <numFmt numFmtId="176" formatCode="0.00\ &quot;lb&quot;"/>
    <numFmt numFmtId="177" formatCode="0.00\ &quot;ft&quot;"/>
    <numFmt numFmtId="178" formatCode="General\ &quot;cy&quot;"/>
    <numFmt numFmtId="179" formatCode="0.00\ &quot;cy&quot;"/>
    <numFmt numFmtId="180" formatCode="0.00\ &quot;min&quot;"/>
    <numFmt numFmtId="181" formatCode="#,##0\ &quot;lb&quot;"/>
    <numFmt numFmtId="182" formatCode="0.0\ &quot;mph&quot;"/>
    <numFmt numFmtId="183" formatCode="0.0\ &quot;min&quot;"/>
    <numFmt numFmtId="184" formatCode="_(* #,##0.0_);_(* \(#,##0.0\);_(* &quot;-&quot;??_);_(@_)"/>
    <numFmt numFmtId="185" formatCode="_(&quot;$&quot;* #,##0_);_(&quot;$&quot;* \(#,##0\);_(&quot;$&quot;* &quot;-&quot;??_);_(@_)"/>
    <numFmt numFmtId="186" formatCode="0.00000"/>
    <numFmt numFmtId="187" formatCode="0.0\ &quot;ft&quot;"/>
    <numFmt numFmtId="188" formatCode="_(* #,##0_);_(* \(#,##0\);_(* &quot;&quot;_);_(@_)"/>
    <numFmt numFmtId="189" formatCode="_(#,##0_);_(#,##0\);_(* &quot;&quot;_)"/>
    <numFmt numFmtId="190" formatCode="_(#,##0.0_);_(#,##0\);_(* &quot;&quot;_)"/>
    <numFmt numFmtId="191" formatCode="_(&quot;$&quot;#,##0_);_(#,##0\);_(* &quot;&quot;_)"/>
    <numFmt numFmtId="192" formatCode="_(#,##0.0_);_(#,##0.0\);_(* &quot;&quot;_)"/>
    <numFmt numFmtId="193" formatCode="_(#,##0.00_);_(#,##0.00\);_(* &quot;&quot;_)"/>
    <numFmt numFmtId="194" formatCode="_(&quot;$&quot;#,##0.00_);_(#,##0.00\);_(* &quot;&quot;_)"/>
    <numFmt numFmtId="195" formatCode="&quot;$&quot;#,##0.0000;[Red]\-&quot;$&quot;#,##0.0000"/>
    <numFmt numFmtId="196" formatCode="&quot;$&quot;#,##0&quot;/ac&quot;"/>
    <numFmt numFmtId="197" formatCode="[$-409]mmmm\ d\,\ yyyy;@"/>
    <numFmt numFmtId="198" formatCode="0.0000"/>
    <numFmt numFmtId="199" formatCode="&quot;$&quot;#,##0.00"/>
    <numFmt numFmtId="200" formatCode="&quot;$&quot;#,##0.00;\-&quot;$&quot;#,##0.00"/>
    <numFmt numFmtId="201" formatCode="0.00\ &quot;ac&quot;"/>
    <numFmt numFmtId="202" formatCode="&quot;Loose Stockpile -&quot;#,##0"/>
    <numFmt numFmtId="203" formatCode="&quot;Loose Stockpile -&quot;#,##0.00"/>
    <numFmt numFmtId="204" formatCode="&quot;Basalt - &quot;#,##0.00"/>
    <numFmt numFmtId="205" formatCode="&quot;Heap Pit Run - &quot;#,##0.00"/>
    <numFmt numFmtId="206" formatCode="&quot;Heap Crushed - &quot;#,##0.00"/>
    <numFmt numFmtId="207" formatCode="&quot;Alluvium - &quot;#,##0.00"/>
    <numFmt numFmtId="208" formatCode="&quot;Normal - &quot;#,##0.00"/>
    <numFmt numFmtId="209" formatCode="&quot;Broken Granite - &quot;#,##0.00"/>
    <numFmt numFmtId="210" formatCode="&quot;Gravel - &quot;#,##0.00"/>
    <numFmt numFmtId="211" formatCode="&quot;Broken LS - &quot;#,##0.00"/>
    <numFmt numFmtId="212" formatCode="&quot;Sandstone - &quot;#,##0.00"/>
    <numFmt numFmtId="213" formatCode="&quot;Shale - &quot;#,##0.00"/>
    <numFmt numFmtId="214" formatCode="&quot;Crushed Stone - &quot;#,##0.00"/>
    <numFmt numFmtId="215" formatCode="&quot;Topsoil - &quot;#,##0.00"/>
    <numFmt numFmtId="216" formatCode="0\ &quot;ft&quot;"/>
    <numFmt numFmtId="217" formatCode="_(&quot;$&quot;#,##0_);_(&quot;$&quot;\ \(#,##0\);_(&quot;$&quot;\ &quot;-&quot;??_);_(@_)"/>
  </numFmts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MT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FFFF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B050"/>
      <name val="Arial"/>
      <family val="2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Arial"/>
      <family val="2"/>
    </font>
    <font>
      <sz val="11"/>
      <name val="Arial"/>
      <family val="2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b/>
      <sz val="14"/>
      <color theme="1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.5"/>
      <name val="Arial"/>
      <family val="2"/>
    </font>
    <font>
      <sz val="11.5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rgb="FF00B050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8"/>
      <color rgb="FF0000FF"/>
      <name val="Arial"/>
      <family val="2"/>
    </font>
    <font>
      <b/>
      <sz val="11"/>
      <color rgb="FF0000FF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9"/>
      <name val="Agency FB"/>
      <family val="2"/>
    </font>
    <font>
      <sz val="9"/>
      <name val="Agency FB"/>
      <family val="2"/>
    </font>
    <font>
      <b/>
      <i/>
      <sz val="10"/>
      <name val="Agency FB"/>
      <family val="2"/>
    </font>
    <font>
      <b/>
      <sz val="10"/>
      <name val="Agency FB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b/>
      <sz val="9.5"/>
      <color theme="1"/>
      <name val="Arial"/>
      <family val="2"/>
    </font>
    <font>
      <b/>
      <sz val="11"/>
      <name val="Arial Black"/>
      <family val="2"/>
    </font>
    <font>
      <vertAlign val="superscript"/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gray125">
        <fgColor indexed="51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  <fill>
      <patternFill patternType="lightTrellis">
        <fgColor indexed="31"/>
        <bgColor indexed="9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31"/>
      </patternFill>
    </fill>
    <fill>
      <patternFill patternType="gray0625"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C0C0C0"/>
        <bgColor rgb="FFFFFFFF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theme="0" tint="-0.14996795556505021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rgb="FFFFFF29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1F024"/>
        <bgColor indexed="64"/>
      </patternFill>
    </fill>
    <fill>
      <patternFill patternType="solid">
        <fgColor auto="1"/>
        <bgColor theme="0"/>
      </patternFill>
    </fill>
    <fill>
      <patternFill patternType="gray125">
        <fgColor theme="0"/>
        <bgColor indexed="9"/>
      </patternFill>
    </fill>
    <fill>
      <patternFill patternType="solid">
        <fgColor indexed="65"/>
        <bgColor theme="0"/>
      </patternFill>
    </fill>
    <fill>
      <patternFill patternType="gray125">
        <fgColor theme="0"/>
        <bgColor rgb="FFFFFFFF"/>
      </patternFill>
    </fill>
    <fill>
      <patternFill patternType="solid">
        <fgColor theme="6" tint="0.79998168889431442"/>
        <bgColor theme="9" tint="-0.24994659260841701"/>
      </patternFill>
    </fill>
    <fill>
      <patternFill patternType="gray0625">
        <fgColor theme="0" tint="-0.14996795556505021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2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fgColor theme="0" tint="-0.14996795556505021"/>
        <bgColor theme="6" tint="0.79998168889431442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2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6">
    <xf numFmtId="0" fontId="0" fillId="0" borderId="0"/>
    <xf numFmtId="0" fontId="26" fillId="13" borderId="63" applyNumberFormat="0" applyAlignment="0" applyProtection="0"/>
    <xf numFmtId="166" fontId="1" fillId="2" borderId="0" applyNumberFormat="0" applyBorder="0">
      <protection hidden="1"/>
    </xf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38" fontId="5" fillId="0" borderId="1" applyFill="0" applyBorder="0">
      <alignment horizontal="center"/>
      <protection locked="0"/>
    </xf>
    <xf numFmtId="0" fontId="1" fillId="3" borderId="2" applyNumberFormat="0" applyBorder="0">
      <protection locked="0"/>
    </xf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>
      <alignment vertical="top"/>
    </xf>
    <xf numFmtId="0" fontId="10" fillId="4" borderId="0" applyNumberFormat="0" applyBorder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8" fillId="5" borderId="0">
      <alignment vertical="center"/>
      <protection hidden="1"/>
    </xf>
    <xf numFmtId="2" fontId="2" fillId="0" borderId="0" applyFont="0" applyFill="0" applyBorder="0" applyAlignment="0" applyProtection="0">
      <alignment vertical="top"/>
    </xf>
    <xf numFmtId="0" fontId="24" fillId="0" borderId="61" applyNumberFormat="0" applyFill="0" applyAlignment="0" applyProtection="0"/>
    <xf numFmtId="0" fontId="14" fillId="6" borderId="3" applyNumberFormat="0">
      <alignment horizontal="left" vertical="top"/>
      <protection hidden="1"/>
    </xf>
    <xf numFmtId="0" fontId="25" fillId="0" borderId="62" applyNumberFormat="0" applyFill="0" applyAlignment="0" applyProtection="0"/>
    <xf numFmtId="0" fontId="8" fillId="7" borderId="4" applyNumberFormat="0">
      <alignment horizontal="left" indent="1"/>
    </xf>
    <xf numFmtId="0" fontId="4" fillId="8" borderId="5" applyNumberFormat="0" applyFont="0" applyBorder="0" applyAlignment="0">
      <alignment vertical="center" wrapText="1"/>
      <protection hidden="1"/>
    </xf>
    <xf numFmtId="0" fontId="1" fillId="0" borderId="0" applyAlignment="0">
      <protection hidden="1"/>
    </xf>
    <xf numFmtId="0" fontId="1" fillId="0" borderId="6">
      <protection hidden="1"/>
    </xf>
    <xf numFmtId="3" fontId="7" fillId="3" borderId="7" applyNumberFormat="0" applyFont="0" applyBorder="0" applyAlignment="0">
      <alignment horizontal="center"/>
      <protection locked="0"/>
    </xf>
    <xf numFmtId="0" fontId="8" fillId="0" borderId="0" applyFill="0" applyBorder="0">
      <protection hidden="1"/>
    </xf>
    <xf numFmtId="9" fontId="23" fillId="0" borderId="0" applyFont="0" applyFill="0" applyBorder="0" applyAlignment="0" applyProtection="0"/>
    <xf numFmtId="0" fontId="5" fillId="9" borderId="0" applyBorder="0">
      <alignment horizontal="center"/>
      <protection locked="0"/>
    </xf>
    <xf numFmtId="0" fontId="6" fillId="10" borderId="0" applyNumberFormat="0" applyBorder="0">
      <protection hidden="1"/>
    </xf>
    <xf numFmtId="0" fontId="5" fillId="11" borderId="8">
      <alignment horizontal="left" indent="2"/>
      <protection hidden="1"/>
    </xf>
    <xf numFmtId="0" fontId="2" fillId="0" borderId="9" applyNumberFormat="0" applyFont="0" applyFill="0" applyAlignment="0" applyProtection="0">
      <alignment vertical="top"/>
    </xf>
    <xf numFmtId="0" fontId="1" fillId="0" borderId="0" applyNumberFormat="0" applyFont="0" applyFill="0" applyBorder="0" applyAlignment="0">
      <protection locked="0"/>
    </xf>
    <xf numFmtId="0" fontId="7" fillId="12" borderId="0" applyNumberFormat="0" applyBorder="0">
      <protection locked="0"/>
    </xf>
    <xf numFmtId="10" fontId="6" fillId="10" borderId="6">
      <protection hidden="1"/>
    </xf>
    <xf numFmtId="0" fontId="8" fillId="17" borderId="4">
      <alignment horizontal="centerContinuous"/>
    </xf>
    <xf numFmtId="0" fontId="5" fillId="0" borderId="33">
      <alignment horizontal="center" wrapText="1"/>
      <protection hidden="1"/>
    </xf>
    <xf numFmtId="0" fontId="5" fillId="0" borderId="13">
      <alignment horizontal="center" wrapText="1"/>
      <protection hidden="1"/>
    </xf>
    <xf numFmtId="0" fontId="5" fillId="0" borderId="19">
      <alignment horizontal="center" wrapText="1"/>
      <protection hidden="1"/>
    </xf>
    <xf numFmtId="0" fontId="1" fillId="0" borderId="36">
      <alignment horizontal="left" wrapText="1" indent="1"/>
      <protection hidden="1"/>
    </xf>
    <xf numFmtId="3" fontId="1" fillId="0" borderId="6">
      <alignment horizontal="center"/>
      <protection hidden="1"/>
    </xf>
    <xf numFmtId="3" fontId="1" fillId="0" borderId="11">
      <alignment horizontal="center"/>
      <protection hidden="1"/>
    </xf>
    <xf numFmtId="0" fontId="1" fillId="0" borderId="6">
      <alignment horizontal="center"/>
      <protection hidden="1"/>
    </xf>
    <xf numFmtId="0" fontId="1" fillId="0" borderId="11">
      <alignment horizontal="center"/>
      <protection hidden="1"/>
    </xf>
    <xf numFmtId="0" fontId="1" fillId="0" borderId="5">
      <protection hidden="1"/>
    </xf>
    <xf numFmtId="0" fontId="1" fillId="0" borderId="15">
      <alignment horizontal="left" indent="1"/>
      <protection hidden="1"/>
    </xf>
    <xf numFmtId="0" fontId="77" fillId="0" borderId="5">
      <protection hidden="1"/>
    </xf>
    <xf numFmtId="0" fontId="1" fillId="0" borderId="33">
      <protection hidden="1"/>
    </xf>
    <xf numFmtId="0" fontId="1" fillId="0" borderId="34">
      <protection hidden="1"/>
    </xf>
    <xf numFmtId="0" fontId="77" fillId="0" borderId="35">
      <alignment horizontal="right"/>
      <protection hidden="1"/>
    </xf>
  </cellStyleXfs>
  <cellXfs count="1213">
    <xf numFmtId="0" fontId="0" fillId="0" borderId="0" xfId="0"/>
    <xf numFmtId="0" fontId="12" fillId="0" borderId="10" xfId="0" applyFont="1" applyFill="1" applyBorder="1" applyAlignment="1" applyProtection="1">
      <protection hidden="1"/>
    </xf>
    <xf numFmtId="0" fontId="12" fillId="0" borderId="11" xfId="0" applyFont="1" applyFill="1" applyBorder="1" applyAlignment="1" applyProtection="1">
      <alignment horizontal="right"/>
      <protection hidden="1"/>
    </xf>
    <xf numFmtId="0" fontId="12" fillId="0" borderId="6" xfId="0" applyFont="1" applyFill="1" applyBorder="1" applyAlignment="1" applyProtection="1">
      <alignment horizontal="right"/>
      <protection hidden="1"/>
    </xf>
    <xf numFmtId="0" fontId="12" fillId="0" borderId="6" xfId="0" applyFont="1" applyFill="1" applyBorder="1" applyAlignment="1" applyProtection="1">
      <protection hidden="1"/>
    </xf>
    <xf numFmtId="0" fontId="9" fillId="0" borderId="12" xfId="0" applyFont="1" applyFill="1" applyBorder="1" applyAlignment="1" applyProtection="1">
      <alignment horizontal="center" wrapText="1"/>
      <protection hidden="1"/>
    </xf>
    <xf numFmtId="0" fontId="9" fillId="0" borderId="13" xfId="0" applyFont="1" applyFill="1" applyBorder="1" applyAlignment="1" applyProtection="1">
      <alignment horizontal="center" wrapText="1"/>
      <protection hidden="1"/>
    </xf>
    <xf numFmtId="0" fontId="9" fillId="0" borderId="14" xfId="0" applyFont="1" applyFill="1" applyBorder="1" applyAlignment="1" applyProtection="1">
      <alignment horizontal="center" wrapText="1"/>
      <protection hidden="1"/>
    </xf>
    <xf numFmtId="0" fontId="9" fillId="0" borderId="19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Protection="1">
      <protection hidden="1"/>
    </xf>
    <xf numFmtId="0" fontId="16" fillId="14" borderId="20" xfId="14" applyFont="1" applyFill="1" applyBorder="1" applyAlignment="1" applyProtection="1">
      <alignment horizontal="left" vertical="top"/>
      <protection hidden="1"/>
    </xf>
    <xf numFmtId="0" fontId="16" fillId="14" borderId="3" xfId="14" applyFont="1" applyFill="1" applyBorder="1" applyAlignment="1" applyProtection="1">
      <alignment horizontal="left" vertical="top"/>
      <protection hidden="1"/>
    </xf>
    <xf numFmtId="0" fontId="16" fillId="14" borderId="21" xfId="14" applyFont="1" applyFill="1" applyBorder="1" applyAlignment="1" applyProtection="1">
      <alignment horizontal="left" vertical="top"/>
      <protection hidden="1"/>
    </xf>
    <xf numFmtId="0" fontId="16" fillId="0" borderId="0" xfId="14" applyFont="1" applyFill="1" applyBorder="1" applyAlignment="1" applyProtection="1">
      <alignment vertical="top"/>
      <protection hidden="1"/>
    </xf>
    <xf numFmtId="0" fontId="5" fillId="0" borderId="30" xfId="0" applyFont="1" applyFill="1" applyBorder="1" applyProtection="1">
      <protection hidden="1"/>
    </xf>
    <xf numFmtId="0" fontId="5" fillId="0" borderId="31" xfId="0" applyFont="1" applyFill="1" applyBorder="1" applyProtection="1">
      <protection hidden="1"/>
    </xf>
    <xf numFmtId="0" fontId="1" fillId="0" borderId="31" xfId="0" applyFont="1" applyFill="1" applyBorder="1" applyProtection="1">
      <protection hidden="1"/>
    </xf>
    <xf numFmtId="0" fontId="1" fillId="0" borderId="32" xfId="0" applyFont="1" applyFill="1" applyBorder="1" applyProtection="1">
      <protection hidden="1"/>
    </xf>
    <xf numFmtId="0" fontId="1" fillId="0" borderId="5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2"/>
      <protection hidden="1"/>
    </xf>
    <xf numFmtId="0" fontId="1" fillId="0" borderId="33" xfId="0" applyFont="1" applyFill="1" applyBorder="1" applyProtection="1">
      <protection hidden="1"/>
    </xf>
    <xf numFmtId="0" fontId="1" fillId="0" borderId="34" xfId="0" applyFont="1" applyFill="1" applyBorder="1" applyProtection="1">
      <protection hidden="1"/>
    </xf>
    <xf numFmtId="0" fontId="1" fillId="0" borderId="34" xfId="0" applyFont="1" applyFill="1" applyBorder="1" applyAlignment="1" applyProtection="1">
      <alignment horizontal="right" indent="2"/>
      <protection hidden="1"/>
    </xf>
    <xf numFmtId="0" fontId="7" fillId="16" borderId="3" xfId="14" applyFont="1" applyFill="1" applyBorder="1" applyAlignment="1" applyProtection="1">
      <alignment horizontal="left" vertical="center"/>
      <protection hidden="1"/>
    </xf>
    <xf numFmtId="0" fontId="16" fillId="14" borderId="3" xfId="14" applyFont="1" applyFill="1" applyBorder="1" applyAlignment="1" applyProtection="1">
      <alignment vertical="top"/>
      <protection hidden="1"/>
    </xf>
    <xf numFmtId="0" fontId="16" fillId="14" borderId="21" xfId="14" applyFont="1" applyFill="1" applyBorder="1" applyAlignment="1" applyProtection="1">
      <alignment vertical="top"/>
      <protection hidden="1"/>
    </xf>
    <xf numFmtId="0" fontId="17" fillId="17" borderId="36" xfId="16" applyFont="1" applyFill="1" applyBorder="1" applyAlignment="1">
      <alignment horizontal="left" indent="1"/>
    </xf>
    <xf numFmtId="0" fontId="17" fillId="17" borderId="37" xfId="16" applyFont="1" applyFill="1" applyBorder="1" applyAlignment="1">
      <alignment horizontal="left" indent="1"/>
    </xf>
    <xf numFmtId="0" fontId="17" fillId="17" borderId="21" xfId="16" applyFont="1" applyFill="1" applyBorder="1" applyAlignment="1">
      <alignment wrapText="1"/>
    </xf>
    <xf numFmtId="0" fontId="17" fillId="17" borderId="20" xfId="16" applyFont="1" applyFill="1" applyBorder="1" applyAlignment="1">
      <alignment horizontal="centerContinuous"/>
    </xf>
    <xf numFmtId="0" fontId="17" fillId="17" borderId="3" xfId="16" applyFont="1" applyFill="1" applyBorder="1" applyAlignment="1">
      <alignment horizontal="centerContinuous"/>
    </xf>
    <xf numFmtId="0" fontId="17" fillId="17" borderId="21" xfId="16" applyFont="1" applyFill="1" applyBorder="1" applyAlignment="1">
      <alignment horizontal="centerContinuous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Protection="1">
      <protection hidden="1"/>
    </xf>
    <xf numFmtId="0" fontId="1" fillId="0" borderId="34" xfId="0" applyFont="1" applyFill="1" applyBorder="1" applyProtection="1">
      <protection locked="0" hidden="1"/>
    </xf>
    <xf numFmtId="3" fontId="18" fillId="0" borderId="0" xfId="29" applyNumberFormat="1" applyFont="1" applyFill="1" applyBorder="1" applyAlignment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8" fillId="0" borderId="0" xfId="29" applyFont="1" applyFill="1" applyBorder="1" applyAlignment="1">
      <alignment horizontal="center"/>
      <protection locked="0"/>
    </xf>
    <xf numFmtId="0" fontId="7" fillId="15" borderId="0" xfId="29" applyFont="1" applyFill="1" applyBorder="1" applyProtection="1">
      <protection locked="0"/>
    </xf>
    <xf numFmtId="0" fontId="18" fillId="15" borderId="0" xfId="29" applyFont="1" applyFill="1" applyBorder="1">
      <protection locked="0"/>
    </xf>
    <xf numFmtId="3" fontId="18" fillId="15" borderId="0" xfId="29" applyNumberFormat="1" applyFont="1" applyFill="1" applyBorder="1">
      <protection locked="0"/>
    </xf>
    <xf numFmtId="0" fontId="1" fillId="0" borderId="0" xfId="0" applyFont="1" applyFill="1" applyBorder="1" applyProtection="1">
      <protection locked="0" hidden="1"/>
    </xf>
    <xf numFmtId="3" fontId="18" fillId="0" borderId="0" xfId="29" applyNumberFormat="1" applyFont="1" applyFill="1" applyBorder="1">
      <protection locked="0"/>
    </xf>
    <xf numFmtId="0" fontId="1" fillId="0" borderId="35" xfId="0" applyFont="1" applyFill="1" applyBorder="1" applyProtection="1">
      <protection hidden="1"/>
    </xf>
    <xf numFmtId="0" fontId="9" fillId="0" borderId="35" xfId="0" applyFont="1" applyFill="1" applyBorder="1" applyAlignment="1" applyProtection="1">
      <alignment horizontal="center" wrapText="1"/>
      <protection hidden="1"/>
    </xf>
    <xf numFmtId="0" fontId="1" fillId="0" borderId="2" xfId="0" applyFont="1" applyFill="1" applyBorder="1" applyProtection="1">
      <protection hidden="1"/>
    </xf>
    <xf numFmtId="0" fontId="17" fillId="17" borderId="20" xfId="16" applyFont="1" applyFill="1" applyBorder="1" applyAlignment="1">
      <alignment horizontal="left" indent="1"/>
    </xf>
    <xf numFmtId="0" fontId="17" fillId="17" borderId="3" xfId="16" applyFont="1" applyFill="1" applyBorder="1" applyAlignment="1">
      <alignment horizontal="left" indent="1"/>
    </xf>
    <xf numFmtId="0" fontId="17" fillId="17" borderId="21" xfId="16" applyFont="1" applyFill="1" applyBorder="1" applyAlignment="1">
      <alignment horizontal="left" indent="1"/>
    </xf>
    <xf numFmtId="0" fontId="1" fillId="16" borderId="3" xfId="0" applyFont="1" applyFill="1" applyBorder="1" applyProtection="1">
      <protection hidden="1"/>
    </xf>
    <xf numFmtId="0" fontId="17" fillId="17" borderId="33" xfId="16" applyFont="1" applyFill="1" applyBorder="1" applyAlignment="1">
      <alignment horizontal="left" indent="1"/>
    </xf>
    <xf numFmtId="0" fontId="17" fillId="17" borderId="35" xfId="16" applyFont="1" applyFill="1" applyBorder="1" applyAlignment="1">
      <alignment horizontal="left" indent="1"/>
    </xf>
    <xf numFmtId="0" fontId="1" fillId="16" borderId="20" xfId="0" applyFont="1" applyFill="1" applyBorder="1" applyProtection="1">
      <protection hidden="1"/>
    </xf>
    <xf numFmtId="0" fontId="9" fillId="0" borderId="33" xfId="0" applyFont="1" applyFill="1" applyBorder="1" applyAlignment="1" applyProtection="1">
      <protection hidden="1"/>
    </xf>
    <xf numFmtId="0" fontId="9" fillId="0" borderId="35" xfId="0" applyFont="1" applyFill="1" applyBorder="1" applyAlignment="1" applyProtection="1"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0" fillId="0" borderId="35" xfId="0" applyFont="1" applyFill="1" applyBorder="1" applyAlignment="1" applyProtection="1">
      <alignment horizontal="center"/>
      <protection hidden="1"/>
    </xf>
    <xf numFmtId="0" fontId="9" fillId="0" borderId="52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3" fontId="1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1" fontId="0" fillId="0" borderId="0" xfId="0" applyNumberFormat="1"/>
    <xf numFmtId="169" fontId="23" fillId="0" borderId="0" xfId="3" applyNumberFormat="1" applyFont="1"/>
    <xf numFmtId="0" fontId="0" fillId="0" borderId="0" xfId="0" applyAlignment="1">
      <alignment horizontal="right"/>
    </xf>
    <xf numFmtId="168" fontId="3" fillId="0" borderId="0" xfId="1" applyNumberFormat="1" applyFont="1" applyFill="1" applyBorder="1" applyAlignment="1" applyProtection="1">
      <alignment horizontal="center"/>
      <protection hidden="1"/>
    </xf>
    <xf numFmtId="165" fontId="5" fillId="0" borderId="0" xfId="1" applyNumberFormat="1" applyFont="1" applyFill="1" applyBorder="1" applyProtection="1">
      <protection hidden="1"/>
    </xf>
    <xf numFmtId="0" fontId="17" fillId="17" borderId="3" xfId="16" applyFont="1" applyFill="1" applyBorder="1" applyAlignment="1">
      <alignment horizontal="center"/>
    </xf>
    <xf numFmtId="0" fontId="17" fillId="17" borderId="21" xfId="16" applyFont="1" applyFill="1" applyBorder="1" applyAlignment="1">
      <alignment horizontal="center"/>
    </xf>
    <xf numFmtId="0" fontId="1" fillId="0" borderId="55" xfId="0" applyFont="1" applyFill="1" applyBorder="1" applyAlignment="1" applyProtection="1">
      <alignment horizontal="center"/>
      <protection hidden="1"/>
    </xf>
    <xf numFmtId="0" fontId="8" fillId="17" borderId="4" xfId="16" applyFont="1" applyFill="1" applyBorder="1" applyAlignment="1">
      <alignment horizontal="centerContinuous"/>
    </xf>
    <xf numFmtId="0" fontId="3" fillId="0" borderId="55" xfId="0" applyFont="1" applyFill="1" applyBorder="1" applyAlignment="1" applyProtection="1">
      <alignment horizontal="center"/>
      <protection hidden="1"/>
    </xf>
    <xf numFmtId="0" fontId="1" fillId="0" borderId="56" xfId="0" applyFont="1" applyFill="1" applyBorder="1" applyProtection="1">
      <protection hidden="1"/>
    </xf>
    <xf numFmtId="0" fontId="1" fillId="0" borderId="56" xfId="0" applyFont="1" applyFill="1" applyBorder="1" applyProtection="1">
      <protection locked="0" hidden="1"/>
    </xf>
    <xf numFmtId="0" fontId="0" fillId="0" borderId="56" xfId="0" applyBorder="1"/>
    <xf numFmtId="166" fontId="1" fillId="0" borderId="0" xfId="1" applyNumberFormat="1" applyFont="1" applyFill="1" applyBorder="1" applyProtection="1">
      <protection hidden="1"/>
    </xf>
    <xf numFmtId="0" fontId="0" fillId="0" borderId="47" xfId="0" applyBorder="1"/>
    <xf numFmtId="0" fontId="14" fillId="14" borderId="20" xfId="14" applyFont="1" applyFill="1" applyBorder="1" applyAlignment="1" applyProtection="1">
      <alignment vertical="top"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168" fontId="3" fillId="0" borderId="57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Protection="1">
      <protection hidden="1"/>
    </xf>
    <xf numFmtId="165" fontId="1" fillId="0" borderId="0" xfId="1" applyNumberFormat="1" applyFont="1" applyFill="1" applyBorder="1" applyProtection="1">
      <protection hidden="1"/>
    </xf>
    <xf numFmtId="1" fontId="3" fillId="0" borderId="0" xfId="1" applyNumberFormat="1" applyFont="1" applyFill="1" applyBorder="1" applyAlignment="1" applyProtection="1">
      <alignment horizontal="center"/>
      <protection hidden="1"/>
    </xf>
    <xf numFmtId="0" fontId="28" fillId="0" borderId="0" xfId="0" applyFont="1"/>
    <xf numFmtId="0" fontId="29" fillId="0" borderId="0" xfId="0" applyFont="1"/>
    <xf numFmtId="1" fontId="1" fillId="0" borderId="0" xfId="0" applyNumberFormat="1" applyFont="1" applyFill="1" applyBorder="1" applyProtection="1">
      <protection hidden="1"/>
    </xf>
    <xf numFmtId="0" fontId="30" fillId="0" borderId="0" xfId="0" applyFont="1"/>
    <xf numFmtId="0" fontId="0" fillId="0" borderId="34" xfId="0" applyBorder="1"/>
    <xf numFmtId="0" fontId="9" fillId="0" borderId="0" xfId="0" applyFont="1" applyFill="1" applyBorder="1" applyAlignment="1" applyProtection="1">
      <alignment horizontal="center" wrapText="1"/>
      <protection hidden="1"/>
    </xf>
    <xf numFmtId="0" fontId="21" fillId="0" borderId="0" xfId="0" applyFont="1" applyFill="1" applyBorder="1" applyProtection="1">
      <protection hidden="1"/>
    </xf>
    <xf numFmtId="0" fontId="19" fillId="0" borderId="0" xfId="24" applyFont="1" applyFill="1" applyBorder="1" applyAlignment="1">
      <alignment horizontal="left"/>
      <protection locked="0"/>
    </xf>
    <xf numFmtId="0" fontId="0" fillId="0" borderId="0" xfId="0" applyBorder="1"/>
    <xf numFmtId="166" fontId="5" fillId="0" borderId="0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4" fillId="6" borderId="20" xfId="15" applyFont="1" applyBorder="1" applyAlignment="1">
      <alignment vertical="top"/>
      <protection hidden="1"/>
    </xf>
    <xf numFmtId="0" fontId="14" fillId="6" borderId="3" xfId="15" applyBorder="1" applyAlignment="1">
      <alignment vertical="top"/>
      <protection hidden="1"/>
    </xf>
    <xf numFmtId="0" fontId="8" fillId="7" borderId="20" xfId="17" applyBorder="1">
      <alignment horizontal="left" indent="1"/>
    </xf>
    <xf numFmtId="0" fontId="5" fillId="7" borderId="3" xfId="17" applyFont="1" applyBorder="1">
      <alignment horizontal="left" indent="1"/>
    </xf>
    <xf numFmtId="0" fontId="8" fillId="7" borderId="3" xfId="17" applyBorder="1">
      <alignment horizontal="left" indent="1"/>
    </xf>
    <xf numFmtId="0" fontId="8" fillId="7" borderId="20" xfId="17" applyFont="1" applyBorder="1">
      <alignment horizontal="left" indent="1"/>
    </xf>
    <xf numFmtId="0" fontId="8" fillId="7" borderId="21" xfId="17" applyBorder="1">
      <alignment horizontal="left" indent="1"/>
    </xf>
    <xf numFmtId="0" fontId="0" fillId="0" borderId="0" xfId="0" quotePrefix="1" applyProtection="1">
      <protection hidden="1"/>
    </xf>
    <xf numFmtId="0" fontId="0" fillId="0" borderId="33" xfId="0" applyBorder="1" applyProtection="1">
      <protection hidden="1"/>
    </xf>
    <xf numFmtId="0" fontId="0" fillId="0" borderId="35" xfId="0" applyBorder="1" applyProtection="1">
      <protection hidden="1"/>
    </xf>
    <xf numFmtId="0" fontId="9" fillId="0" borderId="52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wrapText="1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0" borderId="5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4" fillId="0" borderId="0" xfId="15" applyFill="1" applyBorder="1" applyAlignment="1">
      <alignment vertical="top"/>
      <protection hidden="1"/>
    </xf>
    <xf numFmtId="0" fontId="8" fillId="0" borderId="0" xfId="17" applyFont="1" applyFill="1" applyBorder="1">
      <alignment horizontal="left" indent="1"/>
    </xf>
    <xf numFmtId="0" fontId="8" fillId="0" borderId="0" xfId="17" applyFill="1" applyBorder="1">
      <alignment horizontal="left" indent="1"/>
    </xf>
    <xf numFmtId="0" fontId="0" fillId="0" borderId="0" xfId="0" applyFill="1" applyBorder="1" applyProtection="1">
      <protection hidden="1"/>
    </xf>
    <xf numFmtId="3" fontId="1" fillId="0" borderId="0" xfId="2" applyNumberFormat="1" applyFill="1" applyBorder="1" applyAlignment="1">
      <alignment horizontal="center"/>
      <protection hidden="1"/>
    </xf>
    <xf numFmtId="0" fontId="5" fillId="0" borderId="0" xfId="24" applyFont="1" applyFill="1" applyBorder="1">
      <alignment horizontal="center"/>
      <protection locked="0"/>
    </xf>
    <xf numFmtId="168" fontId="3" fillId="0" borderId="49" xfId="1" applyNumberFormat="1" applyFont="1" applyFill="1" applyBorder="1" applyAlignment="1" applyProtection="1">
      <alignment horizontal="center"/>
      <protection hidden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0" fontId="14" fillId="0" borderId="0" xfId="14" applyFont="1" applyFill="1" applyBorder="1" applyAlignment="1" applyProtection="1">
      <alignment vertical="top"/>
      <protection hidden="1"/>
    </xf>
    <xf numFmtId="165" fontId="0" fillId="0" borderId="0" xfId="0" applyNumberFormat="1"/>
    <xf numFmtId="0" fontId="14" fillId="6" borderId="3" xfId="15" applyBorder="1">
      <alignment horizontal="left" vertical="top"/>
      <protection hidden="1"/>
    </xf>
    <xf numFmtId="0" fontId="14" fillId="6" borderId="21" xfId="15" applyBorder="1">
      <alignment horizontal="left" vertical="top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34" xfId="0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0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0" fillId="0" borderId="39" xfId="0" applyFill="1" applyBorder="1" applyProtection="1">
      <protection hidden="1"/>
    </xf>
    <xf numFmtId="0" fontId="0" fillId="0" borderId="5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174" fontId="0" fillId="0" borderId="8" xfId="0" applyNumberFormat="1" applyFill="1" applyBorder="1" applyAlignment="1" applyProtection="1">
      <alignment horizontal="center"/>
      <protection hidden="1"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66" xfId="0" applyFill="1" applyBorder="1" applyAlignment="1" applyProtection="1">
      <alignment horizontal="center"/>
      <protection hidden="1"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174" fontId="0" fillId="0" borderId="10" xfId="0" applyNumberForma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174" fontId="0" fillId="0" borderId="0" xfId="0" applyNumberFormat="1" applyFill="1" applyBorder="1" applyAlignment="1" applyProtection="1">
      <alignment horizontal="center"/>
      <protection hidden="1"/>
    </xf>
    <xf numFmtId="175" fontId="0" fillId="0" borderId="0" xfId="0" applyNumberFormat="1"/>
    <xf numFmtId="0" fontId="30" fillId="0" borderId="0" xfId="0" applyFont="1" applyFill="1" applyBorder="1"/>
    <xf numFmtId="0" fontId="5" fillId="0" borderId="0" xfId="26" applyFont="1" applyFill="1" applyBorder="1">
      <alignment horizontal="left" indent="2"/>
      <protection hidden="1"/>
    </xf>
    <xf numFmtId="0" fontId="8" fillId="4" borderId="20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vertical="center"/>
      <protection hidden="1"/>
    </xf>
    <xf numFmtId="0" fontId="8" fillId="4" borderId="21" xfId="0" applyFont="1" applyFill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Protection="1">
      <protection hidden="1"/>
    </xf>
    <xf numFmtId="176" fontId="1" fillId="0" borderId="66" xfId="0" applyNumberFormat="1" applyFont="1" applyBorder="1" applyAlignment="1" applyProtection="1">
      <alignment horizontal="center"/>
      <protection hidden="1"/>
    </xf>
    <xf numFmtId="177" fontId="1" fillId="0" borderId="59" xfId="0" applyNumberFormat="1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right"/>
      <protection hidden="1"/>
    </xf>
    <xf numFmtId="178" fontId="1" fillId="0" borderId="6" xfId="0" applyNumberFormat="1" applyFont="1" applyFill="1" applyBorder="1" applyAlignment="1" applyProtection="1">
      <alignment horizontal="center"/>
      <protection hidden="1"/>
    </xf>
    <xf numFmtId="178" fontId="1" fillId="0" borderId="11" xfId="0" applyNumberFormat="1" applyFont="1" applyFill="1" applyBorder="1" applyAlignment="1" applyProtection="1">
      <alignment horizontal="center"/>
      <protection hidden="1"/>
    </xf>
    <xf numFmtId="179" fontId="1" fillId="0" borderId="6" xfId="0" applyNumberFormat="1" applyFont="1" applyFill="1" applyBorder="1" applyAlignment="1" applyProtection="1">
      <alignment horizontal="center"/>
      <protection hidden="1"/>
    </xf>
    <xf numFmtId="179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protection hidden="1"/>
    </xf>
    <xf numFmtId="179" fontId="1" fillId="0" borderId="6" xfId="0" applyNumberFormat="1" applyFont="1" applyBorder="1" applyAlignment="1" applyProtection="1">
      <alignment horizontal="center"/>
      <protection hidden="1"/>
    </xf>
    <xf numFmtId="179" fontId="1" fillId="0" borderId="11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180" fontId="1" fillId="0" borderId="6" xfId="0" applyNumberFormat="1" applyFont="1" applyBorder="1" applyAlignment="1" applyProtection="1">
      <alignment horizontal="center"/>
      <protection hidden="1"/>
    </xf>
    <xf numFmtId="180" fontId="1" fillId="0" borderId="11" xfId="0" applyNumberFormat="1" applyFont="1" applyBorder="1" applyAlignment="1" applyProtection="1">
      <alignment horizontal="center"/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1" fontId="1" fillId="0" borderId="11" xfId="0" applyNumberFormat="1" applyFont="1" applyBorder="1" applyAlignment="1" applyProtection="1">
      <alignment horizontal="center"/>
      <protection hidden="1"/>
    </xf>
    <xf numFmtId="2" fontId="1" fillId="0" borderId="6" xfId="0" applyNumberFormat="1" applyFont="1" applyBorder="1" applyAlignment="1" applyProtection="1">
      <alignment horizontal="center"/>
      <protection hidden="1"/>
    </xf>
    <xf numFmtId="2" fontId="1" fillId="0" borderId="11" xfId="0" applyNumberFormat="1" applyFont="1" applyBorder="1" applyAlignment="1" applyProtection="1">
      <alignment horizontal="center"/>
      <protection hidden="1"/>
    </xf>
    <xf numFmtId="174" fontId="1" fillId="0" borderId="6" xfId="0" applyNumberFormat="1" applyFont="1" applyBorder="1" applyAlignment="1" applyProtection="1">
      <alignment horizontal="center"/>
      <protection hidden="1"/>
    </xf>
    <xf numFmtId="174" fontId="1" fillId="0" borderId="11" xfId="0" applyNumberFormat="1" applyFont="1" applyBorder="1" applyAlignment="1" applyProtection="1">
      <alignment horizontal="center"/>
      <protection hidden="1"/>
    </xf>
    <xf numFmtId="181" fontId="1" fillId="0" borderId="66" xfId="0" applyNumberFormat="1" applyFont="1" applyBorder="1" applyAlignment="1" applyProtection="1">
      <alignment horizontal="center"/>
      <protection hidden="1"/>
    </xf>
    <xf numFmtId="181" fontId="1" fillId="0" borderId="59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Protection="1">
      <protection hidden="1"/>
    </xf>
    <xf numFmtId="181" fontId="1" fillId="0" borderId="25" xfId="0" applyNumberFormat="1" applyFont="1" applyBorder="1" applyAlignment="1" applyProtection="1">
      <alignment horizontal="center"/>
      <protection hidden="1"/>
    </xf>
    <xf numFmtId="181" fontId="1" fillId="0" borderId="7" xfId="0" applyNumberFormat="1" applyFont="1" applyBorder="1" applyAlignment="1" applyProtection="1">
      <alignment horizontal="center"/>
      <protection hidden="1"/>
    </xf>
    <xf numFmtId="176" fontId="1" fillId="0" borderId="25" xfId="0" applyNumberFormat="1" applyFont="1" applyBorder="1" applyAlignment="1" applyProtection="1">
      <alignment horizontal="center"/>
      <protection hidden="1"/>
    </xf>
    <xf numFmtId="177" fontId="1" fillId="0" borderId="7" xfId="0" applyNumberFormat="1" applyFont="1" applyBorder="1" applyAlignment="1" applyProtection="1">
      <alignment horizontal="center"/>
      <protection hidden="1"/>
    </xf>
    <xf numFmtId="178" fontId="1" fillId="0" borderId="6" xfId="0" applyNumberFormat="1" applyFont="1" applyBorder="1" applyAlignment="1" applyProtection="1">
      <alignment horizontal="center"/>
      <protection hidden="1"/>
    </xf>
    <xf numFmtId="178" fontId="1" fillId="0" borderId="11" xfId="0" applyNumberFormat="1" applyFont="1" applyBorder="1" applyAlignment="1" applyProtection="1">
      <alignment horizontal="center"/>
      <protection hidden="1"/>
    </xf>
    <xf numFmtId="182" fontId="1" fillId="0" borderId="6" xfId="0" applyNumberFormat="1" applyFont="1" applyBorder="1" applyAlignment="1" applyProtection="1">
      <alignment horizontal="center"/>
      <protection hidden="1"/>
    </xf>
    <xf numFmtId="182" fontId="1" fillId="0" borderId="11" xfId="0" applyNumberFormat="1" applyFont="1" applyBorder="1" applyAlignment="1" applyProtection="1">
      <alignment horizontal="center"/>
      <protection hidden="1"/>
    </xf>
    <xf numFmtId="183" fontId="1" fillId="0" borderId="6" xfId="0" applyNumberFormat="1" applyFont="1" applyBorder="1" applyAlignment="1" applyProtection="1">
      <alignment horizontal="center"/>
      <protection hidden="1"/>
    </xf>
    <xf numFmtId="183" fontId="1" fillId="0" borderId="11" xfId="0" applyNumberFormat="1" applyFont="1" applyBorder="1" applyAlignment="1" applyProtection="1">
      <alignment horizontal="center"/>
      <protection hidden="1"/>
    </xf>
    <xf numFmtId="0" fontId="1" fillId="0" borderId="6" xfId="0" applyNumberFormat="1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182" fontId="1" fillId="0" borderId="0" xfId="0" applyNumberFormat="1" applyFont="1" applyBorder="1" applyAlignment="1" applyProtection="1">
      <alignment horizontal="center"/>
      <protection hidden="1"/>
    </xf>
    <xf numFmtId="182" fontId="1" fillId="0" borderId="15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Protection="1">
      <protection hidden="1"/>
    </xf>
    <xf numFmtId="0" fontId="1" fillId="0" borderId="37" xfId="0" applyFont="1" applyBorder="1" applyProtection="1">
      <protection hidden="1"/>
    </xf>
    <xf numFmtId="0" fontId="1" fillId="0" borderId="53" xfId="0" applyFont="1" applyBorder="1" applyProtection="1">
      <protection hidden="1"/>
    </xf>
    <xf numFmtId="0" fontId="1" fillId="0" borderId="72" xfId="0" applyFont="1" applyBorder="1" applyAlignment="1" applyProtection="1">
      <alignment horizontal="left" wrapText="1"/>
      <protection hidden="1"/>
    </xf>
    <xf numFmtId="0" fontId="1" fillId="0" borderId="46" xfId="0" applyFont="1" applyBorder="1" applyAlignment="1" applyProtection="1">
      <alignment horizontal="left" wrapText="1"/>
      <protection hidden="1"/>
    </xf>
    <xf numFmtId="0" fontId="1" fillId="0" borderId="73" xfId="0" applyFont="1" applyBorder="1" applyAlignment="1" applyProtection="1">
      <alignment horizontal="left" wrapText="1"/>
      <protection hidden="1"/>
    </xf>
    <xf numFmtId="0" fontId="1" fillId="0" borderId="23" xfId="0" applyFont="1" applyBorder="1" applyProtection="1">
      <protection hidden="1"/>
    </xf>
    <xf numFmtId="0" fontId="1" fillId="0" borderId="24" xfId="0" applyFont="1" applyBorder="1" applyProtection="1">
      <protection hidden="1"/>
    </xf>
    <xf numFmtId="0" fontId="9" fillId="0" borderId="74" xfId="0" applyFont="1" applyBorder="1" applyAlignment="1" applyProtection="1">
      <alignment horizontal="right"/>
      <protection hidden="1"/>
    </xf>
    <xf numFmtId="0" fontId="5" fillId="0" borderId="20" xfId="0" applyFont="1" applyBorder="1" applyAlignment="1" applyProtection="1"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center" wrapText="1"/>
      <protection hidden="1"/>
    </xf>
    <xf numFmtId="174" fontId="5" fillId="0" borderId="12" xfId="0" applyNumberFormat="1" applyFont="1" applyFill="1" applyBorder="1" applyAlignment="1" applyProtection="1">
      <alignment horizontal="center" wrapText="1"/>
      <protection hidden="1"/>
    </xf>
    <xf numFmtId="174" fontId="5" fillId="0" borderId="13" xfId="0" applyNumberFormat="1" applyFont="1" applyFill="1" applyBorder="1" applyAlignment="1" applyProtection="1">
      <alignment horizontal="center" wrapText="1"/>
      <protection hidden="1"/>
    </xf>
    <xf numFmtId="174" fontId="5" fillId="0" borderId="19" xfId="0" applyNumberFormat="1" applyFont="1" applyFill="1" applyBorder="1" applyAlignment="1" applyProtection="1">
      <alignment horizontal="center" wrapText="1"/>
      <protection hidden="1"/>
    </xf>
    <xf numFmtId="0" fontId="0" fillId="0" borderId="69" xfId="0" applyBorder="1" applyProtection="1">
      <protection hidden="1"/>
    </xf>
    <xf numFmtId="3" fontId="0" fillId="0" borderId="64" xfId="0" applyNumberFormat="1" applyBorder="1" applyAlignment="1" applyProtection="1">
      <alignment horizontal="center"/>
      <protection hidden="1"/>
    </xf>
    <xf numFmtId="3" fontId="1" fillId="0" borderId="44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3" fontId="0" fillId="0" borderId="69" xfId="0" applyNumberFormat="1" applyFill="1" applyBorder="1" applyAlignment="1" applyProtection="1">
      <alignment horizontal="center"/>
      <protection hidden="1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3" fontId="0" fillId="0" borderId="60" xfId="0" applyNumberForma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3" fontId="0" fillId="0" borderId="8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26" xfId="0" applyBorder="1" applyProtection="1">
      <protection hidden="1"/>
    </xf>
    <xf numFmtId="3" fontId="0" fillId="0" borderId="75" xfId="0" applyNumberFormat="1" applyBorder="1" applyAlignment="1" applyProtection="1">
      <alignment horizontal="center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0" borderId="77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34" xfId="0" applyBorder="1" applyAlignment="1" applyProtection="1">
      <alignment wrapText="1"/>
      <protection hidden="1"/>
    </xf>
    <xf numFmtId="0" fontId="9" fillId="0" borderId="35" xfId="0" applyFont="1" applyBorder="1" applyAlignment="1" applyProtection="1">
      <alignment horizontal="right"/>
      <protection hidden="1"/>
    </xf>
    <xf numFmtId="175" fontId="0" fillId="0" borderId="0" xfId="0" applyNumberForma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15" xfId="0" applyBorder="1"/>
    <xf numFmtId="0" fontId="0" fillId="0" borderId="35" xfId="0" applyBorder="1"/>
    <xf numFmtId="0" fontId="0" fillId="0" borderId="43" xfId="0" applyBorder="1"/>
    <xf numFmtId="0" fontId="0" fillId="0" borderId="37" xfId="0" applyBorder="1"/>
    <xf numFmtId="0" fontId="0" fillId="0" borderId="44" xfId="0" applyBorder="1"/>
    <xf numFmtId="0" fontId="1" fillId="0" borderId="0" xfId="0" applyFont="1" applyBorder="1" applyProtection="1">
      <protection hidden="1"/>
    </xf>
    <xf numFmtId="174" fontId="1" fillId="0" borderId="0" xfId="0" applyNumberFormat="1" applyFont="1" applyBorder="1" applyAlignment="1" applyProtection="1">
      <alignment horizontal="center"/>
      <protection hidden="1"/>
    </xf>
    <xf numFmtId="0" fontId="28" fillId="0" borderId="0" xfId="0" applyFont="1" applyFill="1" applyBorder="1"/>
    <xf numFmtId="185" fontId="28" fillId="0" borderId="0" xfId="0" applyNumberFormat="1" applyFont="1" applyFill="1" applyBorder="1"/>
    <xf numFmtId="0" fontId="5" fillId="0" borderId="42" xfId="26" applyFont="1" applyFill="1" applyBorder="1">
      <alignment horizontal="left" indent="2"/>
      <protection hidden="1"/>
    </xf>
    <xf numFmtId="0" fontId="30" fillId="0" borderId="51" xfId="0" applyFont="1" applyFill="1" applyBorder="1"/>
    <xf numFmtId="0" fontId="0" fillId="0" borderId="42" xfId="0" applyBorder="1"/>
    <xf numFmtId="0" fontId="5" fillId="0" borderId="43" xfId="26" applyFont="1" applyFill="1" applyBorder="1">
      <alignment horizontal="left" indent="2"/>
      <protection hidden="1"/>
    </xf>
    <xf numFmtId="0" fontId="0" fillId="0" borderId="76" xfId="0" applyBorder="1"/>
    <xf numFmtId="0" fontId="0" fillId="0" borderId="46" xfId="0" applyBorder="1"/>
    <xf numFmtId="0" fontId="0" fillId="0" borderId="75" xfId="0" applyBorder="1"/>
    <xf numFmtId="0" fontId="0" fillId="0" borderId="51" xfId="0" applyBorder="1"/>
    <xf numFmtId="0" fontId="0" fillId="0" borderId="42" xfId="0" applyBorder="1" applyProtection="1">
      <protection hidden="1"/>
    </xf>
    <xf numFmtId="0" fontId="0" fillId="0" borderId="42" xfId="0" applyFill="1" applyBorder="1" applyProtection="1">
      <protection hidden="1"/>
    </xf>
    <xf numFmtId="0" fontId="37" fillId="0" borderId="43" xfId="0" applyFont="1" applyFill="1" applyBorder="1" applyProtection="1">
      <protection hidden="1"/>
    </xf>
    <xf numFmtId="186" fontId="36" fillId="0" borderId="37" xfId="0" applyNumberFormat="1" applyFont="1" applyBorder="1"/>
    <xf numFmtId="0" fontId="1" fillId="0" borderId="75" xfId="0" applyFont="1" applyFill="1" applyBorder="1" applyProtection="1">
      <protection hidden="1"/>
    </xf>
    <xf numFmtId="0" fontId="1" fillId="0" borderId="42" xfId="0" applyFont="1" applyFill="1" applyBorder="1" applyProtection="1">
      <protection hidden="1"/>
    </xf>
    <xf numFmtId="0" fontId="35" fillId="0" borderId="0" xfId="0" applyFont="1" applyBorder="1"/>
    <xf numFmtId="0" fontId="22" fillId="0" borderId="42" xfId="0" applyFont="1" applyFill="1" applyBorder="1" applyAlignment="1" applyProtection="1">
      <alignment horizontal="right"/>
      <protection hidden="1"/>
    </xf>
    <xf numFmtId="1" fontId="0" fillId="0" borderId="0" xfId="0" applyNumberFormat="1" applyBorder="1"/>
    <xf numFmtId="1" fontId="35" fillId="0" borderId="0" xfId="0" applyNumberFormat="1" applyFont="1" applyBorder="1"/>
    <xf numFmtId="1" fontId="0" fillId="0" borderId="51" xfId="0" applyNumberFormat="1" applyBorder="1"/>
    <xf numFmtId="0" fontId="1" fillId="0" borderId="43" xfId="0" applyFont="1" applyFill="1" applyBorder="1" applyProtection="1">
      <protection hidden="1"/>
    </xf>
    <xf numFmtId="1" fontId="0" fillId="0" borderId="37" xfId="0" applyNumberFormat="1" applyBorder="1"/>
    <xf numFmtId="1" fontId="35" fillId="0" borderId="37" xfId="0" applyNumberFormat="1" applyFont="1" applyBorder="1"/>
    <xf numFmtId="1" fontId="0" fillId="0" borderId="44" xfId="0" applyNumberFormat="1" applyBorder="1"/>
    <xf numFmtId="0" fontId="5" fillId="0" borderId="76" xfId="0" applyFont="1" applyFill="1" applyBorder="1" applyProtection="1">
      <protection hidden="1"/>
    </xf>
    <xf numFmtId="0" fontId="0" fillId="0" borderId="43" xfId="0" applyBorder="1" applyProtection="1">
      <protection hidden="1"/>
    </xf>
    <xf numFmtId="0" fontId="0" fillId="0" borderId="25" xfId="0" applyBorder="1"/>
    <xf numFmtId="0" fontId="33" fillId="0" borderId="42" xfId="0" applyFont="1" applyBorder="1"/>
    <xf numFmtId="2" fontId="0" fillId="0" borderId="0" xfId="0" applyNumberFormat="1" applyBorder="1"/>
    <xf numFmtId="0" fontId="0" fillId="0" borderId="0" xfId="0" applyFill="1"/>
    <xf numFmtId="0" fontId="17" fillId="17" borderId="5" xfId="16" applyFont="1" applyFill="1" applyBorder="1" applyAlignment="1">
      <alignment horizontal="left" indent="1"/>
    </xf>
    <xf numFmtId="0" fontId="17" fillId="17" borderId="15" xfId="16" applyFont="1" applyFill="1" applyBorder="1" applyAlignment="1">
      <alignment horizontal="left" indent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0" fontId="36" fillId="0" borderId="0" xfId="0" applyFont="1" applyAlignment="1"/>
    <xf numFmtId="0" fontId="8" fillId="17" borderId="20" xfId="16" applyFont="1" applyFill="1" applyBorder="1" applyAlignment="1"/>
    <xf numFmtId="0" fontId="8" fillId="17" borderId="21" xfId="16" applyFont="1" applyFill="1" applyBorder="1" applyAlignment="1"/>
    <xf numFmtId="0" fontId="8" fillId="17" borderId="3" xfId="16" applyFont="1" applyFill="1" applyBorder="1" applyAlignment="1"/>
    <xf numFmtId="0" fontId="9" fillId="0" borderId="34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center" wrapText="1"/>
      <protection hidden="1"/>
    </xf>
    <xf numFmtId="0" fontId="18" fillId="0" borderId="0" xfId="29" applyFont="1" applyFill="1" applyBorder="1"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36" fillId="0" borderId="0" xfId="0" applyFont="1" applyBorder="1"/>
    <xf numFmtId="0" fontId="0" fillId="0" borderId="39" xfId="0" applyBorder="1"/>
    <xf numFmtId="0" fontId="0" fillId="0" borderId="6" xfId="0" applyBorder="1"/>
    <xf numFmtId="0" fontId="3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80" xfId="0" applyFill="1" applyBorder="1" applyProtection="1">
      <protection hidden="1"/>
    </xf>
    <xf numFmtId="0" fontId="22" fillId="0" borderId="52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0" xfId="0" applyFill="1" applyBorder="1"/>
    <xf numFmtId="0" fontId="36" fillId="0" borderId="0" xfId="0" applyFont="1" applyFill="1" applyBorder="1"/>
    <xf numFmtId="0" fontId="0" fillId="0" borderId="42" xfId="0" applyFill="1" applyBorder="1"/>
    <xf numFmtId="0" fontId="0" fillId="0" borderId="51" xfId="0" applyFill="1" applyBorder="1"/>
    <xf numFmtId="0" fontId="28" fillId="0" borderId="0" xfId="0" applyFont="1" applyBorder="1"/>
    <xf numFmtId="0" fontId="16" fillId="0" borderId="0" xfId="14" applyFont="1" applyFill="1" applyBorder="1" applyAlignment="1" applyProtection="1">
      <alignment horizontal="left" vertical="top"/>
      <protection hidden="1"/>
    </xf>
    <xf numFmtId="3" fontId="3" fillId="0" borderId="0" xfId="1" applyNumberFormat="1" applyFont="1" applyFill="1" applyBorder="1" applyAlignment="1" applyProtection="1">
      <alignment horizontal="center"/>
      <protection hidden="1"/>
    </xf>
    <xf numFmtId="0" fontId="14" fillId="0" borderId="0" xfId="22" applyFont="1" applyFill="1" applyBorder="1">
      <protection hidden="1"/>
    </xf>
    <xf numFmtId="0" fontId="17" fillId="17" borderId="3" xfId="16" applyFont="1" applyFill="1" applyBorder="1" applyAlignment="1">
      <alignment horizontal="center"/>
    </xf>
    <xf numFmtId="0" fontId="27" fillId="0" borderId="5" xfId="0" applyFont="1" applyFill="1" applyBorder="1" applyProtection="1">
      <protection hidden="1"/>
    </xf>
    <xf numFmtId="0" fontId="1" fillId="0" borderId="18" xfId="0" applyFont="1" applyFill="1" applyBorder="1" applyProtection="1"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 wrapText="1"/>
      <protection hidden="1"/>
    </xf>
    <xf numFmtId="0" fontId="9" fillId="0" borderId="42" xfId="0" applyFont="1" applyFill="1" applyBorder="1" applyAlignment="1" applyProtection="1">
      <alignment horizontal="center" wrapText="1"/>
      <protection hidden="1"/>
    </xf>
    <xf numFmtId="0" fontId="1" fillId="0" borderId="69" xfId="0" applyFont="1" applyFill="1" applyBorder="1" applyAlignment="1" applyProtection="1">
      <alignment horizontal="center"/>
      <protection hidden="1"/>
    </xf>
    <xf numFmtId="0" fontId="0" fillId="0" borderId="57" xfId="0" applyBorder="1"/>
    <xf numFmtId="189" fontId="3" fillId="0" borderId="0" xfId="3" applyNumberFormat="1" applyFont="1" applyFill="1" applyBorder="1" applyAlignment="1" applyProtection="1">
      <alignment horizontal="center"/>
      <protection hidden="1"/>
    </xf>
    <xf numFmtId="173" fontId="5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0" fillId="0" borderId="33" xfId="0" applyFont="1" applyFill="1" applyBorder="1" applyAlignment="1" applyProtection="1">
      <alignment horizontal="center"/>
      <protection hidden="1"/>
    </xf>
    <xf numFmtId="0" fontId="17" fillId="17" borderId="28" xfId="16" applyFont="1" applyFill="1" applyBorder="1" applyAlignment="1">
      <alignment horizontal="center"/>
    </xf>
    <xf numFmtId="0" fontId="20" fillId="0" borderId="34" xfId="0" applyFont="1" applyFill="1" applyBorder="1" applyAlignment="1" applyProtection="1">
      <alignment horizontal="center"/>
      <protection hidden="1"/>
    </xf>
    <xf numFmtId="0" fontId="17" fillId="17" borderId="29" xfId="16" applyFont="1" applyFill="1" applyBorder="1" applyAlignment="1">
      <alignment horizontal="center"/>
    </xf>
    <xf numFmtId="0" fontId="20" fillId="0" borderId="19" xfId="0" applyFont="1" applyFill="1" applyBorder="1" applyAlignment="1" applyProtection="1">
      <alignment horizontal="center"/>
      <protection hidden="1"/>
    </xf>
    <xf numFmtId="0" fontId="1" fillId="16" borderId="27" xfId="0" applyFont="1" applyFill="1" applyBorder="1" applyProtection="1">
      <protection hidden="1"/>
    </xf>
    <xf numFmtId="0" fontId="1" fillId="16" borderId="29" xfId="0" applyFont="1" applyFill="1" applyBorder="1" applyProtection="1">
      <protection hidden="1"/>
    </xf>
    <xf numFmtId="0" fontId="17" fillId="17" borderId="27" xfId="16" applyFont="1" applyFill="1" applyBorder="1" applyAlignment="1">
      <alignment horizontal="center"/>
    </xf>
    <xf numFmtId="0" fontId="1" fillId="16" borderId="28" xfId="0" applyFont="1" applyFill="1" applyBorder="1" applyProtection="1">
      <protection hidden="1"/>
    </xf>
    <xf numFmtId="0" fontId="28" fillId="0" borderId="0" xfId="0" applyFont="1" applyFill="1"/>
    <xf numFmtId="49" fontId="16" fillId="14" borderId="20" xfId="14" applyNumberFormat="1" applyFont="1" applyFill="1" applyBorder="1" applyAlignment="1" applyProtection="1">
      <alignment horizontal="left" vertical="top"/>
      <protection hidden="1"/>
    </xf>
    <xf numFmtId="49" fontId="14" fillId="14" borderId="20" xfId="14" applyNumberFormat="1" applyFont="1" applyFill="1" applyBorder="1" applyAlignment="1" applyProtection="1">
      <alignment horizontal="left" vertical="top"/>
      <protection hidden="1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33" fillId="0" borderId="0" xfId="0" applyFont="1"/>
    <xf numFmtId="0" fontId="46" fillId="0" borderId="0" xfId="0" applyFont="1" applyBorder="1"/>
    <xf numFmtId="0" fontId="47" fillId="0" borderId="0" xfId="0" applyFont="1" applyBorder="1"/>
    <xf numFmtId="0" fontId="47" fillId="0" borderId="0" xfId="0" applyFont="1" applyFill="1" applyBorder="1"/>
    <xf numFmtId="0" fontId="48" fillId="0" borderId="0" xfId="0" applyFont="1" applyFill="1" applyBorder="1" applyProtection="1">
      <protection hidden="1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5" fillId="0" borderId="0" xfId="24" applyFill="1" applyBorder="1" applyAlignment="1">
      <alignment horizontal="left"/>
      <protection locked="0"/>
    </xf>
    <xf numFmtId="0" fontId="5" fillId="0" borderId="0" xfId="24" applyFont="1" applyFill="1" applyBorder="1" applyAlignment="1" applyProtection="1">
      <alignment horizontal="left"/>
      <protection locked="0"/>
    </xf>
    <xf numFmtId="0" fontId="18" fillId="0" borderId="56" xfId="29" applyFont="1" applyFill="1" applyBorder="1" applyAlignment="1">
      <alignment horizontal="center"/>
      <protection locked="0"/>
    </xf>
    <xf numFmtId="195" fontId="5" fillId="0" borderId="0" xfId="1" applyNumberFormat="1" applyFont="1" applyFill="1" applyBorder="1" applyProtection="1">
      <protection hidden="1"/>
    </xf>
    <xf numFmtId="0" fontId="18" fillId="0" borderId="0" xfId="29" applyFont="1" applyFill="1" applyBorder="1" applyAlignment="1">
      <alignment horizontal="left"/>
      <protection locked="0"/>
    </xf>
    <xf numFmtId="196" fontId="0" fillId="0" borderId="0" xfId="0" applyNumberFormat="1" applyAlignment="1">
      <alignment horizontal="center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51" fillId="0" borderId="0" xfId="0" applyFont="1"/>
    <xf numFmtId="0" fontId="52" fillId="0" borderId="0" xfId="0" applyFont="1" applyAlignment="1">
      <alignment horizontal="left" vertical="center" indent="3" readingOrder="1"/>
    </xf>
    <xf numFmtId="0" fontId="53" fillId="0" borderId="0" xfId="0" applyFont="1"/>
    <xf numFmtId="0" fontId="52" fillId="0" borderId="0" xfId="0" applyFont="1" applyAlignment="1">
      <alignment horizontal="left" vertical="center" indent="6" readingOrder="1"/>
    </xf>
    <xf numFmtId="0" fontId="52" fillId="0" borderId="0" xfId="0" applyFont="1" applyAlignment="1">
      <alignment horizontal="left" vertical="center" indent="10" readingOrder="1"/>
    </xf>
    <xf numFmtId="0" fontId="30" fillId="0" borderId="0" xfId="0" applyFont="1" applyFill="1"/>
    <xf numFmtId="0" fontId="0" fillId="0" borderId="0" xfId="0" applyAlignment="1">
      <alignment wrapText="1"/>
    </xf>
    <xf numFmtId="0" fontId="30" fillId="0" borderId="0" xfId="0" applyFont="1" applyAlignment="1">
      <alignment vertical="top"/>
    </xf>
    <xf numFmtId="0" fontId="29" fillId="0" borderId="51" xfId="0" applyFont="1" applyBorder="1"/>
    <xf numFmtId="0" fontId="8" fillId="0" borderId="0" xfId="17" applyFont="1" applyFill="1" applyBorder="1" applyAlignment="1" applyProtection="1">
      <alignment horizontal="left" indent="2"/>
      <protection hidden="1"/>
    </xf>
    <xf numFmtId="0" fontId="5" fillId="0" borderId="0" xfId="26" applyFill="1" applyBorder="1">
      <alignment horizontal="left" indent="2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0" fontId="0" fillId="0" borderId="43" xfId="0" applyFill="1" applyBorder="1"/>
    <xf numFmtId="0" fontId="5" fillId="0" borderId="42" xfId="26" applyFill="1" applyBorder="1">
      <alignment horizontal="left" indent="2"/>
      <protection hidden="1"/>
    </xf>
    <xf numFmtId="0" fontId="0" fillId="0" borderId="37" xfId="0" applyFill="1" applyBorder="1"/>
    <xf numFmtId="0" fontId="8" fillId="0" borderId="0" xfId="17" applyFill="1" applyBorder="1" applyAlignment="1" applyProtection="1">
      <alignment horizontal="left" indent="2"/>
      <protection hidden="1"/>
    </xf>
    <xf numFmtId="0" fontId="56" fillId="0" borderId="75" xfId="0" applyFont="1" applyFill="1" applyBorder="1"/>
    <xf numFmtId="0" fontId="55" fillId="0" borderId="76" xfId="17" applyFont="1" applyFill="1" applyBorder="1" applyAlignment="1" applyProtection="1">
      <alignment horizontal="left" indent="2"/>
      <protection hidden="1"/>
    </xf>
    <xf numFmtId="0" fontId="55" fillId="0" borderId="42" xfId="17" applyFont="1" applyFill="1" applyBorder="1" applyAlignment="1" applyProtection="1">
      <alignment horizontal="left" indent="2"/>
      <protection hidden="1"/>
    </xf>
    <xf numFmtId="0" fontId="55" fillId="0" borderId="42" xfId="26" applyFont="1" applyFill="1" applyBorder="1">
      <alignment horizontal="left" indent="2"/>
      <protection hidden="1"/>
    </xf>
    <xf numFmtId="0" fontId="55" fillId="0" borderId="0" xfId="17" applyFont="1" applyFill="1" applyBorder="1" applyAlignment="1" applyProtection="1">
      <alignment horizontal="left" indent="2"/>
      <protection hidden="1"/>
    </xf>
    <xf numFmtId="0" fontId="58" fillId="0" borderId="0" xfId="0" applyFont="1"/>
    <xf numFmtId="0" fontId="54" fillId="0" borderId="6" xfId="0" applyFont="1" applyBorder="1"/>
    <xf numFmtId="0" fontId="54" fillId="0" borderId="22" xfId="0" applyFont="1" applyBorder="1"/>
    <xf numFmtId="0" fontId="57" fillId="0" borderId="25" xfId="0" applyFont="1" applyBorder="1"/>
    <xf numFmtId="0" fontId="0" fillId="0" borderId="68" xfId="0" applyBorder="1"/>
    <xf numFmtId="0" fontId="0" fillId="0" borderId="60" xfId="0" applyBorder="1"/>
    <xf numFmtId="16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78" fontId="0" fillId="0" borderId="0" xfId="0" applyNumberFormat="1"/>
    <xf numFmtId="2" fontId="54" fillId="0" borderId="0" xfId="0" applyNumberFormat="1" applyFont="1"/>
    <xf numFmtId="0" fontId="0" fillId="0" borderId="44" xfId="0" applyBorder="1" applyAlignment="1" applyProtection="1">
      <alignment horizontal="center"/>
      <protection hidden="1"/>
    </xf>
    <xf numFmtId="3" fontId="1" fillId="0" borderId="75" xfId="0" applyNumberFormat="1" applyFont="1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3" fontId="0" fillId="0" borderId="26" xfId="0" applyNumberFormat="1" applyFill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0" fontId="0" fillId="0" borderId="75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3" fontId="0" fillId="0" borderId="83" xfId="0" applyNumberFormat="1" applyBorder="1" applyAlignment="1" applyProtection="1">
      <alignment horizontal="center"/>
      <protection hidden="1"/>
    </xf>
    <xf numFmtId="0" fontId="0" fillId="0" borderId="54" xfId="0" applyBorder="1"/>
    <xf numFmtId="0" fontId="0" fillId="0" borderId="55" xfId="0" applyBorder="1"/>
    <xf numFmtId="3" fontId="0" fillId="0" borderId="81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37" fontId="0" fillId="0" borderId="81" xfId="3" applyNumberFormat="1" applyFont="1" applyBorder="1" applyAlignment="1">
      <alignment horizontal="center" vertical="center"/>
    </xf>
    <xf numFmtId="37" fontId="0" fillId="0" borderId="78" xfId="3" applyNumberFormat="1" applyFont="1" applyBorder="1" applyAlignment="1">
      <alignment horizontal="center" vertical="center"/>
    </xf>
    <xf numFmtId="37" fontId="0" fillId="0" borderId="84" xfId="3" applyNumberFormat="1" applyFont="1" applyBorder="1" applyAlignment="1">
      <alignment horizontal="center" vertical="center"/>
    </xf>
    <xf numFmtId="0" fontId="0" fillId="0" borderId="48" xfId="0" applyBorder="1" applyProtection="1">
      <protection hidden="1"/>
    </xf>
    <xf numFmtId="0" fontId="0" fillId="0" borderId="49" xfId="0" applyBorder="1"/>
    <xf numFmtId="0" fontId="0" fillId="0" borderId="34" xfId="0" applyBorder="1" applyAlignment="1" applyProtection="1">
      <alignment horizontal="right"/>
      <protection hidden="1"/>
    </xf>
    <xf numFmtId="0" fontId="0" fillId="0" borderId="81" xfId="0" applyBorder="1" applyProtection="1">
      <protection hidden="1"/>
    </xf>
    <xf numFmtId="0" fontId="0" fillId="0" borderId="78" xfId="0" applyBorder="1" applyProtection="1">
      <protection hidden="1"/>
    </xf>
    <xf numFmtId="0" fontId="0" fillId="0" borderId="78" xfId="0" applyFill="1" applyBorder="1" applyProtection="1">
      <protection hidden="1"/>
    </xf>
    <xf numFmtId="0" fontId="0" fillId="0" borderId="82" xfId="0" applyBorder="1" applyProtection="1">
      <protection hidden="1"/>
    </xf>
    <xf numFmtId="0" fontId="0" fillId="0" borderId="55" xfId="0" applyBorder="1" applyProtection="1">
      <protection hidden="1"/>
    </xf>
    <xf numFmtId="0" fontId="5" fillId="0" borderId="77" xfId="0" applyFont="1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 wrapText="1"/>
      <protection hidden="1"/>
    </xf>
    <xf numFmtId="168" fontId="30" fillId="0" borderId="0" xfId="0" applyNumberFormat="1" applyFont="1" applyFill="1" applyBorder="1" applyProtection="1">
      <protection hidden="1"/>
    </xf>
    <xf numFmtId="0" fontId="30" fillId="0" borderId="0" xfId="0" applyFont="1" applyFill="1" applyAlignment="1">
      <alignment horizontal="left"/>
    </xf>
    <xf numFmtId="198" fontId="30" fillId="0" borderId="0" xfId="0" applyNumberFormat="1" applyFont="1" applyFill="1" applyBorder="1" applyAlignment="1" applyProtection="1">
      <alignment horizontal="center"/>
      <protection hidden="1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17" fillId="17" borderId="3" xfId="16" applyFont="1" applyFill="1" applyBorder="1" applyAlignment="1">
      <alignment horizontal="center"/>
    </xf>
    <xf numFmtId="0" fontId="17" fillId="17" borderId="21" xfId="16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 hidden="1"/>
    </xf>
    <xf numFmtId="189" fontId="0" fillId="0" borderId="0" xfId="0" applyNumberFormat="1" applyBorder="1"/>
    <xf numFmtId="189" fontId="0" fillId="0" borderId="0" xfId="0" applyNumberFormat="1" applyBorder="1" applyAlignment="1">
      <alignment horizontal="center"/>
    </xf>
    <xf numFmtId="169" fontId="33" fillId="0" borderId="0" xfId="3" applyNumberFormat="1" applyFont="1" applyBorder="1"/>
    <xf numFmtId="184" fontId="33" fillId="0" borderId="0" xfId="3" applyNumberFormat="1" applyFont="1" applyBorder="1"/>
    <xf numFmtId="44" fontId="28" fillId="0" borderId="0" xfId="7" applyFont="1" applyBorder="1"/>
    <xf numFmtId="191" fontId="34" fillId="0" borderId="0" xfId="1" applyNumberFormat="1" applyFont="1" applyFill="1" applyBorder="1" applyProtection="1">
      <protection hidden="1"/>
    </xf>
    <xf numFmtId="194" fontId="34" fillId="0" borderId="0" xfId="7" applyNumberFormat="1" applyFont="1" applyFill="1" applyBorder="1" applyAlignment="1" applyProtection="1">
      <alignment horizontal="left"/>
      <protection hidden="1"/>
    </xf>
    <xf numFmtId="185" fontId="28" fillId="0" borderId="0" xfId="7" applyNumberFormat="1" applyFont="1" applyBorder="1"/>
    <xf numFmtId="0" fontId="47" fillId="0" borderId="0" xfId="0" applyFont="1" applyBorder="1" applyAlignment="1">
      <alignment vertical="center"/>
    </xf>
    <xf numFmtId="0" fontId="49" fillId="0" borderId="0" xfId="0" applyFont="1" applyFill="1" applyBorder="1" applyAlignment="1" applyProtection="1">
      <alignment horizontal="center" wrapText="1"/>
      <protection hidden="1"/>
    </xf>
    <xf numFmtId="192" fontId="47" fillId="0" borderId="0" xfId="3" applyNumberFormat="1" applyFont="1" applyBorder="1" applyAlignment="1">
      <alignment horizontal="right"/>
    </xf>
    <xf numFmtId="192" fontId="47" fillId="0" borderId="0" xfId="3" applyNumberFormat="1" applyFont="1" applyBorder="1"/>
    <xf numFmtId="192" fontId="47" fillId="0" borderId="0" xfId="0" applyNumberFormat="1" applyFont="1" applyBorder="1"/>
    <xf numFmtId="191" fontId="50" fillId="0" borderId="0" xfId="7" applyNumberFormat="1" applyFont="1" applyFill="1" applyBorder="1" applyAlignment="1" applyProtection="1">
      <alignment horizontal="right"/>
      <protection hidden="1"/>
    </xf>
    <xf numFmtId="191" fontId="50" fillId="0" borderId="0" xfId="0" applyNumberFormat="1" applyFont="1" applyFill="1" applyBorder="1" applyAlignment="1" applyProtection="1">
      <alignment horizontal="right"/>
      <protection hidden="1"/>
    </xf>
    <xf numFmtId="194" fontId="48" fillId="0" borderId="0" xfId="7" applyNumberFormat="1" applyFont="1" applyFill="1" applyBorder="1" applyAlignment="1" applyProtection="1">
      <alignment horizontal="right"/>
      <protection hidden="1"/>
    </xf>
    <xf numFmtId="165" fontId="5" fillId="0" borderId="48" xfId="1" applyNumberFormat="1" applyFont="1" applyFill="1" applyBorder="1" applyProtection="1">
      <protection hidden="1"/>
    </xf>
    <xf numFmtId="0" fontId="54" fillId="0" borderId="68" xfId="0" applyFont="1" applyBorder="1"/>
    <xf numFmtId="0" fontId="54" fillId="0" borderId="60" xfId="0" applyFont="1" applyBorder="1"/>
    <xf numFmtId="0" fontId="57" fillId="0" borderId="69" xfId="0" applyFont="1" applyBorder="1"/>
    <xf numFmtId="0" fontId="54" fillId="0" borderId="66" xfId="0" applyFont="1" applyBorder="1"/>
    <xf numFmtId="0" fontId="0" fillId="0" borderId="59" xfId="0" applyBorder="1"/>
    <xf numFmtId="0" fontId="54" fillId="0" borderId="10" xfId="0" applyFont="1" applyBorder="1"/>
    <xf numFmtId="0" fontId="0" fillId="0" borderId="11" xfId="0" applyBorder="1"/>
    <xf numFmtId="0" fontId="54" fillId="0" borderId="23" xfId="0" applyFont="1" applyBorder="1"/>
    <xf numFmtId="0" fontId="0" fillId="0" borderId="24" xfId="0" applyBorder="1"/>
    <xf numFmtId="0" fontId="0" fillId="0" borderId="74" xfId="0" applyBorder="1"/>
    <xf numFmtId="0" fontId="0" fillId="0" borderId="66" xfId="0" applyBorder="1"/>
    <xf numFmtId="0" fontId="5" fillId="0" borderId="66" xfId="26" applyFont="1" applyFill="1" applyBorder="1" applyAlignment="1">
      <alignment horizontal="left" vertical="center" indent="2"/>
      <protection hidden="1"/>
    </xf>
    <xf numFmtId="0" fontId="36" fillId="0" borderId="66" xfId="0" applyFont="1" applyBorder="1" applyAlignment="1">
      <alignment vertical="center"/>
    </xf>
    <xf numFmtId="0" fontId="0" fillId="0" borderId="23" xfId="0" applyBorder="1"/>
    <xf numFmtId="0" fontId="58" fillId="0" borderId="69" xfId="0" applyFont="1" applyBorder="1"/>
    <xf numFmtId="0" fontId="8" fillId="0" borderId="66" xfId="26" applyFont="1" applyFill="1" applyBorder="1" applyAlignment="1">
      <protection hidden="1"/>
    </xf>
    <xf numFmtId="0" fontId="58" fillId="0" borderId="66" xfId="0" applyFont="1" applyBorder="1" applyAlignment="1"/>
    <xf numFmtId="0" fontId="58" fillId="0" borderId="59" xfId="0" applyFont="1" applyBorder="1" applyAlignment="1"/>
    <xf numFmtId="0" fontId="57" fillId="0" borderId="0" xfId="0" applyFont="1"/>
    <xf numFmtId="0" fontId="54" fillId="0" borderId="0" xfId="0" applyFont="1"/>
    <xf numFmtId="0" fontId="8" fillId="0" borderId="0" xfId="22" applyFont="1" applyFill="1" applyBorder="1">
      <protection hidden="1"/>
    </xf>
    <xf numFmtId="0" fontId="59" fillId="0" borderId="0" xfId="0" applyFont="1" applyAlignment="1">
      <alignment horizontal="center"/>
    </xf>
    <xf numFmtId="44" fontId="0" fillId="0" borderId="0" xfId="7" applyFont="1"/>
    <xf numFmtId="44" fontId="54" fillId="0" borderId="0" xfId="7" applyFont="1"/>
    <xf numFmtId="0" fontId="1" fillId="0" borderId="10" xfId="0" applyFont="1" applyFill="1" applyBorder="1" applyAlignment="1" applyProtection="1">
      <alignment horizontal="right" indent="4"/>
      <protection hidden="1"/>
    </xf>
    <xf numFmtId="0" fontId="34" fillId="0" borderId="0" xfId="0" applyFont="1" applyFill="1" applyBorder="1" applyProtection="1">
      <protection hidden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center"/>
    </xf>
    <xf numFmtId="0" fontId="1" fillId="0" borderId="17" xfId="0" applyFont="1" applyFill="1" applyBorder="1" applyProtection="1">
      <protection hidden="1"/>
    </xf>
    <xf numFmtId="0" fontId="1" fillId="0" borderId="25" xfId="0" applyFont="1" applyFill="1" applyBorder="1" applyProtection="1">
      <protection hidden="1"/>
    </xf>
    <xf numFmtId="0" fontId="54" fillId="0" borderId="17" xfId="0" applyFont="1" applyBorder="1"/>
    <xf numFmtId="0" fontId="54" fillId="0" borderId="25" xfId="0" applyFont="1" applyBorder="1"/>
    <xf numFmtId="0" fontId="29" fillId="0" borderId="22" xfId="0" applyFont="1" applyBorder="1"/>
    <xf numFmtId="0" fontId="29" fillId="0" borderId="17" xfId="0" applyFont="1" applyBorder="1"/>
    <xf numFmtId="0" fontId="29" fillId="0" borderId="17" xfId="0" applyFont="1" applyFill="1" applyBorder="1"/>
    <xf numFmtId="0" fontId="29" fillId="0" borderId="25" xfId="0" applyFont="1" applyBorder="1"/>
    <xf numFmtId="0" fontId="60" fillId="0" borderId="22" xfId="0" applyFont="1" applyBorder="1"/>
    <xf numFmtId="0" fontId="29" fillId="0" borderId="17" xfId="0" applyFont="1" applyFill="1" applyBorder="1" applyProtection="1">
      <protection hidden="1"/>
    </xf>
    <xf numFmtId="0" fontId="29" fillId="0" borderId="17" xfId="0" applyFont="1" applyBorder="1" applyProtection="1">
      <protection hidden="1"/>
    </xf>
    <xf numFmtId="0" fontId="29" fillId="0" borderId="76" xfId="0" applyFont="1" applyBorder="1"/>
    <xf numFmtId="0" fontId="29" fillId="0" borderId="42" xfId="0" applyFont="1" applyBorder="1"/>
    <xf numFmtId="0" fontId="29" fillId="0" borderId="43" xfId="0" applyFont="1" applyBorder="1"/>
    <xf numFmtId="0" fontId="29" fillId="0" borderId="17" xfId="0" applyFont="1" applyBorder="1" applyAlignment="1">
      <alignment wrapText="1"/>
    </xf>
    <xf numFmtId="0" fontId="60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 applyProtection="1">
      <alignment wrapText="1"/>
      <protection hidden="1"/>
    </xf>
    <xf numFmtId="0" fontId="5" fillId="0" borderId="22" xfId="0" applyFont="1" applyFill="1" applyBorder="1" applyAlignment="1" applyProtection="1">
      <alignment horizontal="center" wrapText="1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60" fillId="0" borderId="22" xfId="0" applyFont="1" applyBorder="1" applyAlignment="1">
      <alignment horizontal="center" wrapText="1"/>
    </xf>
    <xf numFmtId="0" fontId="5" fillId="0" borderId="0" xfId="1" applyNumberFormat="1" applyFont="1" applyFill="1" applyBorder="1" applyProtection="1">
      <protection hidden="1"/>
    </xf>
    <xf numFmtId="0" fontId="1" fillId="0" borderId="0" xfId="1" applyNumberFormat="1" applyFont="1" applyFill="1" applyBorder="1" applyProtection="1">
      <protection hidden="1"/>
    </xf>
    <xf numFmtId="0" fontId="29" fillId="0" borderId="0" xfId="0" applyFont="1" applyFill="1"/>
    <xf numFmtId="0" fontId="0" fillId="0" borderId="20" xfId="0" applyFill="1" applyBorder="1" applyProtection="1">
      <protection hidden="1"/>
    </xf>
    <xf numFmtId="0" fontId="0" fillId="0" borderId="77" xfId="0" applyFill="1" applyBorder="1" applyAlignment="1" applyProtection="1">
      <alignment horizontal="centerContinuous"/>
      <protection hidden="1"/>
    </xf>
    <xf numFmtId="0" fontId="0" fillId="0" borderId="79" xfId="0" applyFill="1" applyBorder="1" applyAlignment="1" applyProtection="1">
      <alignment horizontal="centerContinuous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6" fillId="0" borderId="30" xfId="25" applyFill="1" applyBorder="1">
      <protection hidden="1"/>
    </xf>
    <xf numFmtId="0" fontId="1" fillId="0" borderId="32" xfId="2" applyNumberFormat="1" applyFill="1" applyBorder="1">
      <protection hidden="1"/>
    </xf>
    <xf numFmtId="0" fontId="1" fillId="0" borderId="10" xfId="2" applyNumberFormat="1" applyFont="1" applyFill="1" applyBorder="1" applyAlignment="1">
      <alignment vertical="center"/>
      <protection hidden="1"/>
    </xf>
    <xf numFmtId="0" fontId="1" fillId="0" borderId="10" xfId="2" applyNumberFormat="1" applyFont="1" applyFill="1" applyBorder="1" applyAlignment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1" fillId="0" borderId="0" xfId="2" applyNumberFormat="1" applyFont="1" applyFill="1" applyBorder="1" applyAlignment="1">
      <protection hidden="1"/>
    </xf>
    <xf numFmtId="0" fontId="29" fillId="0" borderId="42" xfId="0" applyFont="1" applyFill="1" applyBorder="1"/>
    <xf numFmtId="0" fontId="29" fillId="0" borderId="43" xfId="0" applyFont="1" applyFill="1" applyBorder="1"/>
    <xf numFmtId="0" fontId="60" fillId="0" borderId="76" xfId="0" applyFont="1" applyFill="1" applyBorder="1"/>
    <xf numFmtId="0" fontId="54" fillId="0" borderId="42" xfId="0" applyFont="1" applyBorder="1"/>
    <xf numFmtId="184" fontId="47" fillId="0" borderId="0" xfId="0" applyNumberFormat="1" applyFont="1" applyBorder="1"/>
    <xf numFmtId="0" fontId="45" fillId="0" borderId="0" xfId="0" applyFont="1" applyBorder="1" applyAlignment="1">
      <alignment horizontal="right"/>
    </xf>
    <xf numFmtId="0" fontId="43" fillId="0" borderId="0" xfId="0" applyFont="1" applyFill="1" applyBorder="1" applyAlignment="1" applyProtection="1">
      <alignment horizontal="center" wrapText="1"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192" fontId="40" fillId="0" borderId="0" xfId="0" applyNumberFormat="1" applyFont="1" applyBorder="1"/>
    <xf numFmtId="192" fontId="40" fillId="0" borderId="0" xfId="3" applyNumberFormat="1" applyFont="1" applyBorder="1" applyAlignment="1">
      <alignment horizontal="right"/>
    </xf>
    <xf numFmtId="191" fontId="44" fillId="0" borderId="0" xfId="7" applyNumberFormat="1" applyFont="1" applyFill="1" applyBorder="1" applyAlignment="1" applyProtection="1">
      <alignment horizontal="right"/>
      <protection hidden="1"/>
    </xf>
    <xf numFmtId="191" fontId="44" fillId="0" borderId="0" xfId="0" applyNumberFormat="1" applyFont="1" applyFill="1" applyBorder="1" applyAlignment="1" applyProtection="1">
      <alignment horizontal="right"/>
      <protection hidden="1"/>
    </xf>
    <xf numFmtId="194" fontId="41" fillId="0" borderId="0" xfId="7" applyNumberFormat="1" applyFont="1" applyFill="1" applyBorder="1" applyAlignment="1" applyProtection="1">
      <alignment horizontal="right"/>
      <protection hidden="1"/>
    </xf>
    <xf numFmtId="192" fontId="40" fillId="0" borderId="0" xfId="0" applyNumberFormat="1" applyFont="1" applyFill="1" applyBorder="1"/>
    <xf numFmtId="192" fontId="0" fillId="0" borderId="0" xfId="0" applyNumberFormat="1" applyBorder="1"/>
    <xf numFmtId="191" fontId="41" fillId="0" borderId="0" xfId="1" applyNumberFormat="1" applyFont="1" applyFill="1" applyBorder="1" applyAlignment="1" applyProtection="1">
      <alignment horizontal="right"/>
      <protection hidden="1"/>
    </xf>
    <xf numFmtId="184" fontId="40" fillId="0" borderId="0" xfId="0" applyNumberFormat="1" applyFont="1" applyBorder="1"/>
    <xf numFmtId="191" fontId="41" fillId="0" borderId="0" xfId="0" applyNumberFormat="1" applyFont="1" applyFill="1" applyBorder="1" applyAlignment="1" applyProtection="1">
      <alignment horizontal="right"/>
      <protection hidden="1"/>
    </xf>
    <xf numFmtId="0" fontId="17" fillId="17" borderId="77" xfId="16" applyFont="1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center"/>
      <protection hidden="1"/>
    </xf>
    <xf numFmtId="0" fontId="17" fillId="17" borderId="4" xfId="16" applyFont="1" applyFill="1" applyBorder="1" applyAlignment="1">
      <alignment horizontal="left" indent="1"/>
    </xf>
    <xf numFmtId="169" fontId="48" fillId="0" borderId="0" xfId="3" applyNumberFormat="1" applyFont="1" applyBorder="1"/>
    <xf numFmtId="201" fontId="5" fillId="0" borderId="0" xfId="1" applyNumberFormat="1" applyFont="1" applyFill="1" applyBorder="1" applyAlignment="1" applyProtection="1">
      <alignment horizontal="center"/>
      <protection hidden="1"/>
    </xf>
    <xf numFmtId="0" fontId="54" fillId="0" borderId="0" xfId="0" applyFont="1" applyFill="1" applyBorder="1"/>
    <xf numFmtId="199" fontId="1" fillId="0" borderId="0" xfId="2" applyNumberFormat="1" applyFill="1" applyBorder="1">
      <protection hidden="1"/>
    </xf>
    <xf numFmtId="0" fontId="39" fillId="0" borderId="0" xfId="0" applyFont="1"/>
    <xf numFmtId="44" fontId="29" fillId="0" borderId="27" xfId="7" applyFont="1" applyBorder="1"/>
    <xf numFmtId="44" fontId="29" fillId="0" borderId="28" xfId="7" applyFont="1" applyBorder="1"/>
    <xf numFmtId="0" fontId="29" fillId="0" borderId="28" xfId="0" applyFont="1" applyBorder="1"/>
    <xf numFmtId="0" fontId="54" fillId="0" borderId="28" xfId="0" applyFont="1" applyBorder="1"/>
    <xf numFmtId="0" fontId="29" fillId="0" borderId="29" xfId="0" applyFont="1" applyBorder="1"/>
    <xf numFmtId="0" fontId="5" fillId="0" borderId="1" xfId="17" applyFont="1" applyFill="1" applyBorder="1" applyAlignment="1" applyProtection="1">
      <alignment horizontal="left" vertical="center" indent="2"/>
      <protection hidden="1"/>
    </xf>
    <xf numFmtId="0" fontId="1" fillId="0" borderId="0" xfId="22" applyFont="1" applyFill="1" applyBorder="1">
      <protection hidden="1"/>
    </xf>
    <xf numFmtId="2" fontId="14" fillId="0" borderId="0" xfId="3" applyNumberFormat="1" applyFont="1" applyFill="1" applyBorder="1" applyAlignment="1" applyProtection="1">
      <alignment vertical="top"/>
      <protection hidden="1"/>
    </xf>
    <xf numFmtId="202" fontId="0" fillId="0" borderId="0" xfId="0" applyNumberFormat="1" applyProtection="1">
      <protection locked="0"/>
    </xf>
    <xf numFmtId="203" fontId="0" fillId="0" borderId="0" xfId="0" applyNumberFormat="1" applyAlignment="1" applyProtection="1">
      <alignment horizontal="left"/>
      <protection locked="0"/>
    </xf>
    <xf numFmtId="0" fontId="9" fillId="0" borderId="55" xfId="0" applyFont="1" applyBorder="1" applyAlignment="1" applyProtection="1">
      <alignment horizontal="center" wrapText="1"/>
      <protection hidden="1"/>
    </xf>
    <xf numFmtId="198" fontId="54" fillId="0" borderId="51" xfId="0" applyNumberFormat="1" applyFont="1" applyFill="1" applyBorder="1" applyAlignment="1" applyProtection="1">
      <alignment horizontal="right"/>
      <protection hidden="1"/>
    </xf>
    <xf numFmtId="198" fontId="61" fillId="0" borderId="51" xfId="0" applyNumberFormat="1" applyFont="1" applyBorder="1"/>
    <xf numFmtId="198" fontId="39" fillId="0" borderId="51" xfId="0" applyNumberFormat="1" applyFont="1" applyFill="1" applyBorder="1" applyAlignment="1" applyProtection="1">
      <alignment horizontal="right"/>
      <protection hidden="1"/>
    </xf>
    <xf numFmtId="198" fontId="39" fillId="0" borderId="44" xfId="0" applyNumberFormat="1" applyFont="1" applyFill="1" applyBorder="1" applyAlignment="1" applyProtection="1">
      <alignment horizontal="right"/>
      <protection hidden="1"/>
    </xf>
    <xf numFmtId="0" fontId="63" fillId="0" borderId="0" xfId="0" applyFont="1"/>
    <xf numFmtId="188" fontId="7" fillId="20" borderId="7" xfId="1" applyNumberFormat="1" applyFont="1" applyFill="1" applyBorder="1" applyAlignment="1" applyProtection="1">
      <alignment horizontal="left"/>
      <protection hidden="1"/>
    </xf>
    <xf numFmtId="165" fontId="5" fillId="20" borderId="27" xfId="1" applyNumberFormat="1" applyFont="1" applyFill="1" applyBorder="1" applyProtection="1">
      <protection hidden="1"/>
    </xf>
    <xf numFmtId="165" fontId="5" fillId="20" borderId="29" xfId="1" applyNumberFormat="1" applyFont="1" applyFill="1" applyBorder="1" applyProtection="1">
      <protection hidden="1"/>
    </xf>
    <xf numFmtId="189" fontId="3" fillId="20" borderId="27" xfId="3" applyNumberFormat="1" applyFont="1" applyFill="1" applyBorder="1" applyAlignment="1" applyProtection="1">
      <alignment horizontal="center"/>
      <protection hidden="1"/>
    </xf>
    <xf numFmtId="168" fontId="3" fillId="20" borderId="29" xfId="1" applyNumberFormat="1" applyFont="1" applyFill="1" applyBorder="1" applyAlignment="1" applyProtection="1">
      <alignment horizontal="center"/>
      <protection hidden="1"/>
    </xf>
    <xf numFmtId="0" fontId="1" fillId="21" borderId="0" xfId="0" applyFont="1" applyFill="1" applyBorder="1" applyAlignment="1" applyProtection="1">
      <alignment horizontal="centerContinuous"/>
      <protection hidden="1"/>
    </xf>
    <xf numFmtId="0" fontId="1" fillId="21" borderId="15" xfId="0" applyFont="1" applyFill="1" applyBorder="1" applyAlignment="1" applyProtection="1">
      <alignment horizontal="centerContinuous"/>
      <protection hidden="1"/>
    </xf>
    <xf numFmtId="0" fontId="7" fillId="21" borderId="41" xfId="29" quotePrefix="1" applyNumberFormat="1" applyFont="1" applyFill="1" applyBorder="1">
      <protection locked="0"/>
    </xf>
    <xf numFmtId="0" fontId="18" fillId="21" borderId="59" xfId="29" applyFont="1" applyFill="1" applyBorder="1" applyAlignment="1">
      <alignment horizontal="center"/>
      <protection locked="0"/>
    </xf>
    <xf numFmtId="1" fontId="7" fillId="21" borderId="69" xfId="29" applyNumberFormat="1" applyFont="1" applyFill="1" applyBorder="1" applyAlignment="1" applyProtection="1">
      <alignment horizontal="center"/>
      <protection locked="0"/>
    </xf>
    <xf numFmtId="1" fontId="7" fillId="21" borderId="66" xfId="29" applyNumberFormat="1" applyFont="1" applyFill="1" applyBorder="1" applyAlignment="1" applyProtection="1">
      <alignment horizontal="center"/>
      <protection locked="0"/>
    </xf>
    <xf numFmtId="0" fontId="18" fillId="21" borderId="66" xfId="29" applyFont="1" applyFill="1" applyBorder="1" applyAlignment="1">
      <alignment horizontal="center"/>
      <protection locked="0"/>
    </xf>
    <xf numFmtId="171" fontId="18" fillId="21" borderId="69" xfId="3" applyNumberFormat="1" applyFont="1" applyFill="1" applyBorder="1" applyAlignment="1" applyProtection="1">
      <alignment horizontal="center"/>
      <protection locked="0"/>
    </xf>
    <xf numFmtId="0" fontId="18" fillId="21" borderId="7" xfId="29" applyFont="1" applyFill="1" applyBorder="1" applyAlignment="1">
      <alignment horizontal="center"/>
      <protection locked="0"/>
    </xf>
    <xf numFmtId="1" fontId="7" fillId="21" borderId="8" xfId="29" applyNumberFormat="1" applyFont="1" applyFill="1" applyBorder="1" applyAlignment="1" applyProtection="1">
      <alignment horizontal="center"/>
      <protection locked="0"/>
    </xf>
    <xf numFmtId="0" fontId="7" fillId="21" borderId="25" xfId="29" applyFont="1" applyFill="1" applyBorder="1" applyAlignment="1" applyProtection="1">
      <alignment horizontal="center"/>
      <protection locked="0"/>
    </xf>
    <xf numFmtId="1" fontId="7" fillId="21" borderId="7" xfId="29" applyNumberFormat="1" applyFont="1" applyFill="1" applyBorder="1" applyAlignment="1" applyProtection="1">
      <alignment horizontal="center"/>
      <protection locked="0"/>
    </xf>
    <xf numFmtId="171" fontId="18" fillId="21" borderId="8" xfId="3" applyNumberFormat="1" applyFont="1" applyFill="1" applyBorder="1" applyAlignment="1" applyProtection="1">
      <alignment horizontal="center"/>
      <protection locked="0"/>
    </xf>
    <xf numFmtId="170" fontId="18" fillId="21" borderId="43" xfId="23" applyNumberFormat="1" applyFont="1" applyFill="1" applyBorder="1" applyAlignment="1" applyProtection="1">
      <alignment horizontal="center"/>
      <protection locked="0"/>
    </xf>
    <xf numFmtId="1" fontId="18" fillId="21" borderId="8" xfId="29" applyNumberFormat="1" applyFont="1" applyFill="1" applyBorder="1" applyAlignment="1">
      <alignment horizontal="center"/>
      <protection locked="0"/>
    </xf>
    <xf numFmtId="0" fontId="18" fillId="21" borderId="25" xfId="29" applyFont="1" applyFill="1" applyBorder="1" applyAlignment="1">
      <alignment horizontal="center"/>
      <protection locked="0"/>
    </xf>
    <xf numFmtId="3" fontId="18" fillId="21" borderId="7" xfId="29" applyNumberFormat="1" applyFont="1" applyFill="1" applyBorder="1" applyAlignment="1">
      <alignment horizontal="center"/>
      <protection locked="0"/>
    </xf>
    <xf numFmtId="170" fontId="18" fillId="21" borderId="25" xfId="23" applyNumberFormat="1" applyFont="1" applyFill="1" applyBorder="1" applyAlignment="1" applyProtection="1">
      <alignment horizontal="center"/>
      <protection locked="0"/>
    </xf>
    <xf numFmtId="0" fontId="7" fillId="21" borderId="81" xfId="29" applyFont="1" applyFill="1" applyBorder="1" applyAlignment="1">
      <alignment horizontal="center"/>
      <protection locked="0"/>
    </xf>
    <xf numFmtId="0" fontId="18" fillId="21" borderId="50" xfId="29" applyNumberFormat="1" applyFont="1" applyFill="1" applyBorder="1" applyAlignment="1">
      <alignment horizontal="center"/>
      <protection locked="0"/>
    </xf>
    <xf numFmtId="1" fontId="18" fillId="21" borderId="8" xfId="23" applyNumberFormat="1" applyFont="1" applyFill="1" applyBorder="1" applyAlignment="1" applyProtection="1">
      <alignment horizontal="center"/>
      <protection locked="0"/>
    </xf>
    <xf numFmtId="170" fontId="18" fillId="21" borderId="40" xfId="23" applyNumberFormat="1" applyFont="1" applyFill="1" applyBorder="1" applyAlignment="1" applyProtection="1">
      <alignment horizontal="center"/>
      <protection locked="0"/>
    </xf>
    <xf numFmtId="170" fontId="18" fillId="21" borderId="50" xfId="23" applyNumberFormat="1" applyFont="1" applyFill="1" applyBorder="1" applyAlignment="1" applyProtection="1">
      <alignment horizontal="center"/>
      <protection locked="0"/>
    </xf>
    <xf numFmtId="0" fontId="18" fillId="21" borderId="36" xfId="29" applyNumberFormat="1" applyFont="1" applyFill="1" applyBorder="1" applyAlignment="1">
      <alignment horizontal="center"/>
      <protection locked="0"/>
    </xf>
    <xf numFmtId="170" fontId="18" fillId="21" borderId="11" xfId="23" applyNumberFormat="1" applyFont="1" applyFill="1" applyBorder="1" applyAlignment="1" applyProtection="1">
      <alignment horizontal="center"/>
      <protection locked="0"/>
    </xf>
    <xf numFmtId="0" fontId="5" fillId="22" borderId="0" xfId="6" applyFont="1" applyFill="1" applyBorder="1" applyAlignment="1">
      <alignment horizontal="centerContinuous"/>
      <protection locked="0"/>
    </xf>
    <xf numFmtId="0" fontId="1" fillId="22" borderId="0" xfId="0" applyFont="1" applyFill="1" applyBorder="1" applyAlignment="1" applyProtection="1">
      <alignment horizontal="centerContinuous"/>
      <protection hidden="1"/>
    </xf>
    <xf numFmtId="0" fontId="1" fillId="22" borderId="15" xfId="0" applyFont="1" applyFill="1" applyBorder="1" applyAlignment="1" applyProtection="1">
      <alignment horizontal="centerContinuous"/>
      <protection hidden="1"/>
    </xf>
    <xf numFmtId="4" fontId="18" fillId="22" borderId="25" xfId="29" applyNumberFormat="1" applyFont="1" applyFill="1" applyBorder="1" applyAlignment="1">
      <alignment horizontal="center"/>
      <protection locked="0"/>
    </xf>
    <xf numFmtId="4" fontId="7" fillId="22" borderId="25" xfId="29" applyNumberFormat="1" applyFont="1" applyFill="1" applyBorder="1" applyAlignment="1" applyProtection="1">
      <alignment horizontal="center"/>
      <protection locked="0"/>
    </xf>
    <xf numFmtId="0" fontId="19" fillId="23" borderId="0" xfId="0" applyFont="1" applyFill="1" applyBorder="1" applyAlignment="1" applyProtection="1">
      <alignment horizontal="centerContinuous"/>
      <protection hidden="1"/>
    </xf>
    <xf numFmtId="0" fontId="1" fillId="23" borderId="0" xfId="0" applyFont="1" applyFill="1" applyBorder="1" applyAlignment="1" applyProtection="1">
      <alignment horizontal="centerContinuous"/>
      <protection hidden="1"/>
    </xf>
    <xf numFmtId="0" fontId="1" fillId="23" borderId="15" xfId="0" applyFont="1" applyFill="1" applyBorder="1" applyAlignment="1" applyProtection="1">
      <alignment horizontal="centerContinuous"/>
      <protection hidden="1"/>
    </xf>
    <xf numFmtId="0" fontId="5" fillId="24" borderId="6" xfId="24" applyFill="1" applyBorder="1" applyAlignment="1">
      <alignment horizontal="left"/>
      <protection locked="0"/>
    </xf>
    <xf numFmtId="0" fontId="5" fillId="24" borderId="6" xfId="24" applyFont="1" applyFill="1" applyBorder="1" applyAlignment="1" applyProtection="1">
      <alignment horizontal="left"/>
      <protection locked="0"/>
    </xf>
    <xf numFmtId="0" fontId="5" fillId="24" borderId="25" xfId="24" applyFill="1" applyBorder="1" applyProtection="1">
      <alignment horizontal="center"/>
      <protection locked="0"/>
    </xf>
    <xf numFmtId="0" fontId="5" fillId="24" borderId="8" xfId="24" applyFont="1" applyFill="1" applyBorder="1">
      <alignment horizontal="center"/>
      <protection locked="0"/>
    </xf>
    <xf numFmtId="0" fontId="5" fillId="24" borderId="25" xfId="24" applyFill="1" applyBorder="1" applyAlignment="1">
      <alignment horizontal="left"/>
      <protection locked="0"/>
    </xf>
    <xf numFmtId="0" fontId="5" fillId="24" borderId="7" xfId="24" applyFill="1" applyBorder="1" applyAlignment="1">
      <alignment horizontal="left"/>
      <protection locked="0"/>
    </xf>
    <xf numFmtId="0" fontId="5" fillId="24" borderId="7" xfId="24" applyFill="1" applyBorder="1">
      <alignment horizontal="center"/>
      <protection locked="0"/>
    </xf>
    <xf numFmtId="0" fontId="19" fillId="23" borderId="7" xfId="24" applyFont="1" applyFill="1" applyBorder="1" applyAlignment="1">
      <alignment horizontal="left"/>
      <protection locked="0"/>
    </xf>
    <xf numFmtId="2" fontId="5" fillId="24" borderId="50" xfId="24" applyNumberFormat="1" applyFont="1" applyFill="1" applyBorder="1" applyAlignment="1">
      <alignment horizontal="center"/>
      <protection locked="0"/>
    </xf>
    <xf numFmtId="0" fontId="5" fillId="24" borderId="37" xfId="24" applyFill="1" applyBorder="1" applyAlignment="1">
      <alignment horizontal="left"/>
      <protection locked="0"/>
    </xf>
    <xf numFmtId="0" fontId="5" fillId="24" borderId="11" xfId="24" applyFont="1" applyFill="1" applyBorder="1">
      <alignment horizontal="center"/>
      <protection locked="0"/>
    </xf>
    <xf numFmtId="197" fontId="54" fillId="0" borderId="0" xfId="0" applyNumberFormat="1" applyFont="1"/>
    <xf numFmtId="0" fontId="63" fillId="0" borderId="1" xfId="0" applyFont="1" applyBorder="1" applyAlignment="1"/>
    <xf numFmtId="0" fontId="63" fillId="0" borderId="30" xfId="0" applyFont="1" applyBorder="1" applyAlignment="1"/>
    <xf numFmtId="0" fontId="0" fillId="0" borderId="70" xfId="0" applyBorder="1"/>
    <xf numFmtId="0" fontId="0" fillId="0" borderId="71" xfId="0" applyBorder="1"/>
    <xf numFmtId="0" fontId="29" fillId="24" borderId="6" xfId="0" applyFont="1" applyFill="1" applyBorder="1" applyProtection="1">
      <protection locked="0"/>
    </xf>
    <xf numFmtId="0" fontId="29" fillId="24" borderId="11" xfId="0" applyFont="1" applyFill="1" applyBorder="1" applyProtection="1">
      <protection locked="0"/>
    </xf>
    <xf numFmtId="0" fontId="1" fillId="24" borderId="6" xfId="0" applyFont="1" applyFill="1" applyBorder="1" applyProtection="1">
      <protection locked="0"/>
    </xf>
    <xf numFmtId="0" fontId="1" fillId="24" borderId="11" xfId="0" applyFont="1" applyFill="1" applyBorder="1" applyProtection="1">
      <protection locked="0"/>
    </xf>
    <xf numFmtId="201" fontId="60" fillId="25" borderId="6" xfId="0" applyNumberFormat="1" applyFont="1" applyFill="1" applyBorder="1" applyAlignment="1" applyProtection="1">
      <alignment horizontal="center"/>
      <protection locked="0"/>
    </xf>
    <xf numFmtId="201" fontId="60" fillId="25" borderId="11" xfId="0" applyNumberFormat="1" applyFont="1" applyFill="1" applyBorder="1" applyAlignment="1" applyProtection="1">
      <alignment horizontal="center"/>
      <protection locked="0"/>
    </xf>
    <xf numFmtId="187" fontId="60" fillId="25" borderId="6" xfId="0" applyNumberFormat="1" applyFont="1" applyFill="1" applyBorder="1" applyAlignment="1" applyProtection="1">
      <alignment horizontal="center"/>
      <protection locked="0"/>
    </xf>
    <xf numFmtId="187" fontId="60" fillId="25" borderId="11" xfId="0" applyNumberFormat="1" applyFont="1" applyFill="1" applyBorder="1" applyAlignment="1" applyProtection="1">
      <alignment horizontal="center"/>
      <protection locked="0"/>
    </xf>
    <xf numFmtId="170" fontId="60" fillId="25" borderId="22" xfId="23" applyNumberFormat="1" applyFont="1" applyFill="1" applyBorder="1" applyAlignment="1" applyProtection="1">
      <alignment horizontal="center"/>
      <protection locked="0"/>
    </xf>
    <xf numFmtId="170" fontId="60" fillId="25" borderId="58" xfId="23" applyNumberFormat="1" applyFont="1" applyFill="1" applyBorder="1" applyAlignment="1" applyProtection="1">
      <alignment horizontal="center"/>
      <protection locked="0"/>
    </xf>
    <xf numFmtId="216" fontId="60" fillId="25" borderId="24" xfId="0" applyNumberFormat="1" applyFont="1" applyFill="1" applyBorder="1" applyAlignment="1" applyProtection="1">
      <alignment horizontal="center"/>
      <protection locked="0"/>
    </xf>
    <xf numFmtId="216" fontId="60" fillId="25" borderId="7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21" borderId="6" xfId="29" applyNumberFormat="1" applyFont="1" applyFill="1" applyBorder="1">
      <protection locked="0"/>
    </xf>
    <xf numFmtId="0" fontId="63" fillId="0" borderId="1" xfId="0" applyFont="1" applyBorder="1" applyAlignment="1">
      <alignment wrapText="1"/>
    </xf>
    <xf numFmtId="0" fontId="63" fillId="0" borderId="45" xfId="0" applyFont="1" applyBorder="1" applyAlignment="1">
      <alignment wrapText="1"/>
    </xf>
    <xf numFmtId="49" fontId="60" fillId="25" borderId="67" xfId="0" applyNumberFormat="1" applyFont="1" applyFill="1" applyBorder="1" applyAlignment="1" applyProtection="1">
      <protection locked="0"/>
    </xf>
    <xf numFmtId="49" fontId="60" fillId="25" borderId="68" xfId="0" applyNumberFormat="1" applyFont="1" applyFill="1" applyBorder="1" applyAlignment="1" applyProtection="1">
      <protection locked="0"/>
    </xf>
    <xf numFmtId="196" fontId="60" fillId="0" borderId="0" xfId="7" applyNumberFormat="1" applyFont="1" applyBorder="1" applyAlignment="1"/>
    <xf numFmtId="49" fontId="60" fillId="25" borderId="59" xfId="0" applyNumberFormat="1" applyFont="1" applyFill="1" applyBorder="1" applyAlignment="1" applyProtection="1">
      <protection locked="0"/>
    </xf>
    <xf numFmtId="49" fontId="60" fillId="25" borderId="11" xfId="0" applyNumberFormat="1" applyFont="1" applyFill="1" applyBorder="1" applyAlignment="1" applyProtection="1">
      <protection locked="0"/>
    </xf>
    <xf numFmtId="0" fontId="67" fillId="0" borderId="0" xfId="0" applyFont="1"/>
    <xf numFmtId="0" fontId="63" fillId="0" borderId="6" xfId="0" applyFont="1" applyBorder="1" applyAlignment="1">
      <alignment horizontal="center" wrapText="1"/>
    </xf>
    <xf numFmtId="201" fontId="0" fillId="0" borderId="0" xfId="0" applyNumberFormat="1"/>
    <xf numFmtId="44" fontId="0" fillId="0" borderId="0" xfId="0" applyNumberFormat="1"/>
    <xf numFmtId="0" fontId="63" fillId="0" borderId="69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23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196" fontId="60" fillId="0" borderId="5" xfId="7" applyNumberFormat="1" applyFont="1" applyBorder="1" applyAlignment="1"/>
    <xf numFmtId="196" fontId="60" fillId="0" borderId="15" xfId="7" applyNumberFormat="1" applyFont="1" applyBorder="1" applyAlignment="1"/>
    <xf numFmtId="0" fontId="64" fillId="0" borderId="33" xfId="0" applyFont="1" applyBorder="1"/>
    <xf numFmtId="196" fontId="60" fillId="0" borderId="34" xfId="7" applyNumberFormat="1" applyFont="1" applyBorder="1" applyAlignment="1"/>
    <xf numFmtId="217" fontId="0" fillId="0" borderId="0" xfId="0" applyNumberFormat="1" applyBorder="1"/>
    <xf numFmtId="0" fontId="0" fillId="0" borderId="53" xfId="0" applyBorder="1"/>
    <xf numFmtId="197" fontId="29" fillId="0" borderId="0" xfId="0" applyNumberFormat="1" applyFont="1" applyFill="1" applyBorder="1" applyAlignment="1" applyProtection="1">
      <alignment horizontal="left"/>
      <protection locked="0"/>
    </xf>
    <xf numFmtId="197" fontId="60" fillId="0" borderId="0" xfId="0" applyNumberFormat="1" applyFont="1" applyFill="1" applyBorder="1" applyAlignment="1" applyProtection="1">
      <alignment horizontal="left"/>
      <protection locked="0"/>
    </xf>
    <xf numFmtId="197" fontId="60" fillId="0" borderId="15" xfId="0" applyNumberFormat="1" applyFont="1" applyFill="1" applyBorder="1" applyAlignment="1" applyProtection="1">
      <alignment horizontal="left"/>
      <protection locked="0"/>
    </xf>
    <xf numFmtId="217" fontId="0" fillId="19" borderId="66" xfId="7" applyNumberFormat="1" applyFont="1" applyFill="1" applyBorder="1" applyAlignment="1"/>
    <xf numFmtId="217" fontId="0" fillId="19" borderId="59" xfId="7" applyNumberFormat="1" applyFont="1" applyFill="1" applyBorder="1" applyAlignment="1"/>
    <xf numFmtId="217" fontId="0" fillId="19" borderId="6" xfId="7" applyNumberFormat="1" applyFont="1" applyFill="1" applyBorder="1" applyAlignment="1"/>
    <xf numFmtId="217" fontId="0" fillId="19" borderId="11" xfId="7" applyNumberFormat="1" applyFont="1" applyFill="1" applyBorder="1" applyAlignment="1"/>
    <xf numFmtId="217" fontId="36" fillId="19" borderId="10" xfId="7" applyNumberFormat="1" applyFont="1" applyFill="1" applyBorder="1" applyAlignment="1">
      <alignment horizontal="center"/>
    </xf>
    <xf numFmtId="217" fontId="36" fillId="19" borderId="6" xfId="7" applyNumberFormat="1" applyFont="1" applyFill="1" applyBorder="1" applyAlignment="1">
      <alignment horizontal="center"/>
    </xf>
    <xf numFmtId="217" fontId="36" fillId="19" borderId="11" xfId="7" applyNumberFormat="1" applyFont="1" applyFill="1" applyBorder="1" applyAlignment="1">
      <alignment horizontal="center"/>
    </xf>
    <xf numFmtId="199" fontId="0" fillId="0" borderId="0" xfId="0" applyNumberFormat="1"/>
    <xf numFmtId="0" fontId="5" fillId="0" borderId="36" xfId="17" applyFont="1" applyFill="1" applyBorder="1" applyAlignment="1" applyProtection="1">
      <alignment horizontal="left" vertical="center" indent="2"/>
      <protection hidden="1"/>
    </xf>
    <xf numFmtId="199" fontId="1" fillId="26" borderId="25" xfId="2" applyNumberFormat="1" applyFill="1" applyBorder="1">
      <protection hidden="1"/>
    </xf>
    <xf numFmtId="199" fontId="1" fillId="26" borderId="7" xfId="2" applyNumberFormat="1" applyFill="1" applyBorder="1">
      <protection hidden="1"/>
    </xf>
    <xf numFmtId="2" fontId="0" fillId="0" borderId="0" xfId="0" applyNumberFormat="1"/>
    <xf numFmtId="0" fontId="1" fillId="0" borderId="78" xfId="0" applyFont="1" applyBorder="1" applyProtection="1">
      <protection hidden="1"/>
    </xf>
    <xf numFmtId="0" fontId="1" fillId="0" borderId="81" xfId="0" applyFont="1" applyBorder="1" applyProtection="1">
      <protection hidden="1"/>
    </xf>
    <xf numFmtId="0" fontId="1" fillId="0" borderId="84" xfId="0" applyFont="1" applyBorder="1" applyProtection="1">
      <protection hidden="1"/>
    </xf>
    <xf numFmtId="0" fontId="1" fillId="0" borderId="4" xfId="0" applyFont="1" applyBorder="1" applyProtection="1">
      <protection hidden="1"/>
    </xf>
    <xf numFmtId="44" fontId="54" fillId="0" borderId="0" xfId="7" applyFont="1" applyBorder="1"/>
    <xf numFmtId="0" fontId="54" fillId="0" borderId="6" xfId="0" applyFont="1" applyBorder="1" applyAlignment="1">
      <alignment horizontal="center"/>
    </xf>
    <xf numFmtId="199" fontId="54" fillId="0" borderId="6" xfId="7" applyNumberFormat="1" applyFont="1" applyBorder="1"/>
    <xf numFmtId="7" fontId="54" fillId="0" borderId="6" xfId="0" applyNumberFormat="1" applyFont="1" applyBorder="1"/>
    <xf numFmtId="199" fontId="54" fillId="0" borderId="6" xfId="0" applyNumberFormat="1" applyFont="1" applyBorder="1"/>
    <xf numFmtId="44" fontId="54" fillId="0" borderId="68" xfId="7" applyFont="1" applyBorder="1"/>
    <xf numFmtId="44" fontId="54" fillId="0" borderId="70" xfId="7" applyFont="1" applyBorder="1"/>
    <xf numFmtId="0" fontId="57" fillId="0" borderId="10" xfId="0" applyFont="1" applyBorder="1"/>
    <xf numFmtId="0" fontId="54" fillId="0" borderId="11" xfId="0" applyFont="1" applyBorder="1"/>
    <xf numFmtId="184" fontId="54" fillId="0" borderId="11" xfId="3" applyNumberFormat="1" applyFont="1" applyBorder="1"/>
    <xf numFmtId="168" fontId="54" fillId="0" borderId="11" xfId="0" applyNumberFormat="1" applyFont="1" applyBorder="1"/>
    <xf numFmtId="199" fontId="54" fillId="0" borderId="24" xfId="7" applyNumberFormat="1" applyFont="1" applyBorder="1"/>
    <xf numFmtId="0" fontId="54" fillId="0" borderId="24" xfId="0" applyFont="1" applyBorder="1"/>
    <xf numFmtId="0" fontId="54" fillId="0" borderId="74" xfId="0" applyFont="1" applyBorder="1"/>
    <xf numFmtId="44" fontId="54" fillId="0" borderId="40" xfId="7" applyFont="1" applyBorder="1"/>
    <xf numFmtId="44" fontId="54" fillId="0" borderId="17" xfId="7" applyFont="1" applyBorder="1"/>
    <xf numFmtId="44" fontId="54" fillId="0" borderId="12" xfId="7" applyFont="1" applyBorder="1"/>
    <xf numFmtId="199" fontId="54" fillId="0" borderId="46" xfId="7" applyNumberFormat="1" applyFont="1" applyBorder="1"/>
    <xf numFmtId="7" fontId="54" fillId="0" borderId="46" xfId="0" applyNumberFormat="1" applyFont="1" applyBorder="1"/>
    <xf numFmtId="199" fontId="54" fillId="0" borderId="46" xfId="0" applyNumberFormat="1" applyFont="1" applyBorder="1"/>
    <xf numFmtId="168" fontId="54" fillId="0" borderId="73" xfId="0" applyNumberFormat="1" applyFont="1" applyBorder="1"/>
    <xf numFmtId="199" fontId="54" fillId="0" borderId="43" xfId="7" applyNumberFormat="1" applyFont="1" applyBorder="1"/>
    <xf numFmtId="199" fontId="54" fillId="0" borderId="37" xfId="7" applyNumberFormat="1" applyFont="1" applyBorder="1"/>
    <xf numFmtId="7" fontId="54" fillId="0" borderId="37" xfId="0" applyNumberFormat="1" applyFont="1" applyBorder="1"/>
    <xf numFmtId="199" fontId="54" fillId="0" borderId="37" xfId="0" applyNumberFormat="1" applyFont="1" applyBorder="1"/>
    <xf numFmtId="168" fontId="54" fillId="0" borderId="53" xfId="0" applyNumberFormat="1" applyFont="1" applyBorder="1"/>
    <xf numFmtId="0" fontId="54" fillId="0" borderId="46" xfId="0" applyFont="1" applyBorder="1"/>
    <xf numFmtId="0" fontId="54" fillId="0" borderId="73" xfId="0" applyFont="1" applyBorder="1"/>
    <xf numFmtId="0" fontId="54" fillId="0" borderId="37" xfId="0" applyFont="1" applyBorder="1"/>
    <xf numFmtId="0" fontId="54" fillId="0" borderId="53" xfId="0" applyFont="1" applyBorder="1"/>
    <xf numFmtId="0" fontId="54" fillId="0" borderId="1" xfId="0" applyFont="1" applyBorder="1"/>
    <xf numFmtId="0" fontId="57" fillId="0" borderId="8" xfId="0" applyFont="1" applyBorder="1"/>
    <xf numFmtId="0" fontId="5" fillId="0" borderId="8" xfId="26" applyFill="1" applyBorder="1">
      <alignment horizontal="left" indent="2"/>
      <protection hidden="1"/>
    </xf>
    <xf numFmtId="199" fontId="1" fillId="0" borderId="25" xfId="2" applyNumberFormat="1" applyFill="1" applyBorder="1">
      <protection hidden="1"/>
    </xf>
    <xf numFmtId="199" fontId="1" fillId="0" borderId="7" xfId="2" applyNumberFormat="1" applyFill="1" applyBorder="1">
      <protection hidden="1"/>
    </xf>
    <xf numFmtId="0" fontId="0" fillId="28" borderId="66" xfId="0" applyFill="1" applyBorder="1" applyAlignment="1" applyProtection="1">
      <alignment horizontal="center"/>
      <protection hidden="1"/>
    </xf>
    <xf numFmtId="0" fontId="0" fillId="28" borderId="66" xfId="0" applyFill="1" applyBorder="1" applyAlignment="1" applyProtection="1">
      <alignment horizontal="center" vertical="center"/>
      <protection hidden="1"/>
    </xf>
    <xf numFmtId="3" fontId="0" fillId="28" borderId="66" xfId="0" applyNumberFormat="1" applyFill="1" applyBorder="1" applyAlignment="1" applyProtection="1">
      <alignment horizontal="center" vertical="center"/>
      <protection hidden="1"/>
    </xf>
    <xf numFmtId="0" fontId="0" fillId="28" borderId="6" xfId="0" applyFill="1" applyBorder="1" applyAlignment="1" applyProtection="1">
      <alignment horizontal="center"/>
      <protection hidden="1"/>
    </xf>
    <xf numFmtId="0" fontId="0" fillId="28" borderId="6" xfId="0" applyFill="1" applyBorder="1" applyAlignment="1" applyProtection="1">
      <alignment horizontal="center" vertical="center"/>
      <protection hidden="1"/>
    </xf>
    <xf numFmtId="3" fontId="0" fillId="28" borderId="6" xfId="0" applyNumberFormat="1" applyFill="1" applyBorder="1" applyAlignment="1" applyProtection="1">
      <alignment horizontal="center" vertical="center"/>
      <protection hidden="1"/>
    </xf>
    <xf numFmtId="0" fontId="0" fillId="28" borderId="24" xfId="0" applyFill="1" applyBorder="1" applyAlignment="1" applyProtection="1">
      <alignment horizontal="center"/>
      <protection hidden="1"/>
    </xf>
    <xf numFmtId="0" fontId="0" fillId="28" borderId="24" xfId="0" applyFill="1" applyBorder="1" applyAlignment="1" applyProtection="1">
      <alignment horizontal="center" vertical="center"/>
      <protection hidden="1"/>
    </xf>
    <xf numFmtId="3" fontId="0" fillId="28" borderId="24" xfId="0" applyNumberFormat="1" applyFill="1" applyBorder="1" applyAlignment="1" applyProtection="1">
      <alignment horizontal="center" vertical="center"/>
      <protection hidden="1"/>
    </xf>
    <xf numFmtId="0" fontId="29" fillId="28" borderId="5" xfId="0" applyFont="1" applyFill="1" applyBorder="1" applyProtection="1">
      <protection hidden="1"/>
    </xf>
    <xf numFmtId="3" fontId="5" fillId="28" borderId="51" xfId="2" applyNumberFormat="1" applyFont="1" applyFill="1" applyBorder="1" applyAlignment="1">
      <alignment horizontal="right"/>
      <protection hidden="1"/>
    </xf>
    <xf numFmtId="0" fontId="1" fillId="28" borderId="6" xfId="0" applyFont="1" applyFill="1" applyBorder="1" applyAlignment="1" applyProtection="1">
      <alignment horizontal="center" vertical="center"/>
      <protection hidden="1"/>
    </xf>
    <xf numFmtId="0" fontId="1" fillId="0" borderId="10" xfId="2" applyNumberFormat="1" applyFill="1" applyBorder="1" applyAlignment="1">
      <protection hidden="1"/>
    </xf>
    <xf numFmtId="0" fontId="0" fillId="0" borderId="68" xfId="0" applyFill="1" applyBorder="1" applyProtection="1">
      <protection hidden="1"/>
    </xf>
    <xf numFmtId="0" fontId="0" fillId="0" borderId="88" xfId="0" applyFill="1" applyBorder="1" applyProtection="1">
      <protection hidden="1"/>
    </xf>
    <xf numFmtId="200" fontId="1" fillId="0" borderId="89" xfId="2" applyNumberFormat="1" applyFill="1" applyBorder="1">
      <protection hidden="1"/>
    </xf>
    <xf numFmtId="0" fontId="1" fillId="0" borderId="68" xfId="2" applyNumberFormat="1" applyFill="1" applyBorder="1">
      <protection hidden="1"/>
    </xf>
    <xf numFmtId="0" fontId="1" fillId="0" borderId="88" xfId="2" applyNumberFormat="1" applyFill="1" applyBorder="1">
      <protection hidden="1"/>
    </xf>
    <xf numFmtId="200" fontId="6" fillId="0" borderId="89" xfId="25" applyNumberFormat="1" applyFill="1" applyBorder="1">
      <protection hidden="1"/>
    </xf>
    <xf numFmtId="0" fontId="1" fillId="0" borderId="68" xfId="2" applyNumberFormat="1" applyFont="1" applyFill="1" applyBorder="1">
      <protection hidden="1"/>
    </xf>
    <xf numFmtId="0" fontId="7" fillId="0" borderId="68" xfId="29" applyFont="1" applyFill="1" applyBorder="1">
      <protection locked="0"/>
    </xf>
    <xf numFmtId="0" fontId="7" fillId="0" borderId="60" xfId="29" applyFill="1" applyBorder="1">
      <protection locked="0"/>
    </xf>
    <xf numFmtId="200" fontId="7" fillId="0" borderId="90" xfId="29" applyNumberFormat="1" applyFont="1" applyFill="1" applyBorder="1" applyAlignment="1">
      <alignment horizontal="right"/>
      <protection locked="0"/>
    </xf>
    <xf numFmtId="200" fontId="7" fillId="0" borderId="90" xfId="29" applyNumberFormat="1" applyFill="1" applyBorder="1" applyAlignment="1">
      <alignment horizontal="right"/>
      <protection locked="0"/>
    </xf>
    <xf numFmtId="0" fontId="1" fillId="0" borderId="10" xfId="2" applyNumberFormat="1" applyFill="1" applyBorder="1">
      <protection hidden="1"/>
    </xf>
    <xf numFmtId="200" fontId="6" fillId="0" borderId="91" xfId="25" applyNumberFormat="1" applyFill="1" applyBorder="1" applyAlignment="1">
      <alignment horizontal="center"/>
      <protection hidden="1"/>
    </xf>
    <xf numFmtId="0" fontId="7" fillId="0" borderId="6" xfId="29" applyFill="1" applyBorder="1" applyAlignment="1">
      <alignment horizontal="center"/>
      <protection locked="0"/>
    </xf>
    <xf numFmtId="200" fontId="1" fillId="0" borderId="89" xfId="2" applyNumberFormat="1" applyFill="1" applyBorder="1" applyAlignment="1">
      <alignment horizontal="right"/>
      <protection hidden="1"/>
    </xf>
    <xf numFmtId="10" fontId="6" fillId="0" borderId="59" xfId="30" applyFill="1" applyBorder="1">
      <protection hidden="1"/>
    </xf>
    <xf numFmtId="10" fontId="6" fillId="0" borderId="11" xfId="30" applyFill="1" applyBorder="1">
      <protection hidden="1"/>
    </xf>
    <xf numFmtId="0" fontId="54" fillId="0" borderId="0" xfId="0" applyFont="1" applyFill="1"/>
    <xf numFmtId="199" fontId="6" fillId="0" borderId="29" xfId="30" applyNumberFormat="1" applyFill="1" applyBorder="1">
      <protection hidden="1"/>
    </xf>
    <xf numFmtId="199" fontId="6" fillId="0" borderId="87" xfId="25" applyNumberFormat="1" applyFill="1" applyBorder="1">
      <protection hidden="1"/>
    </xf>
    <xf numFmtId="199" fontId="1" fillId="0" borderId="66" xfId="2" applyNumberFormat="1" applyFill="1" applyBorder="1">
      <protection hidden="1"/>
    </xf>
    <xf numFmtId="0" fontId="0" fillId="0" borderId="66" xfId="0" applyFill="1" applyBorder="1" applyAlignment="1" applyProtection="1">
      <alignment horizontal="center" vertical="center"/>
      <protection hidden="1"/>
    </xf>
    <xf numFmtId="199" fontId="1" fillId="0" borderId="59" xfId="2" applyNumberFormat="1" applyFill="1" applyBorder="1">
      <protection hidden="1"/>
    </xf>
    <xf numFmtId="199" fontId="6" fillId="0" borderId="85" xfId="25" applyNumberFormat="1" applyFill="1" applyBorder="1"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199" fontId="6" fillId="0" borderId="86" xfId="25" applyNumberFormat="1" applyFill="1" applyBorder="1">
      <protection hidden="1"/>
    </xf>
    <xf numFmtId="199" fontId="1" fillId="0" borderId="24" xfId="2" applyNumberFormat="1" applyFill="1" applyBorder="1">
      <protection hidden="1"/>
    </xf>
    <xf numFmtId="0" fontId="1" fillId="0" borderId="24" xfId="20" applyFill="1" applyBorder="1">
      <protection hidden="1"/>
    </xf>
    <xf numFmtId="199" fontId="1" fillId="0" borderId="74" xfId="2" applyNumberFormat="1" applyFill="1" applyBorder="1">
      <protection hidden="1"/>
    </xf>
    <xf numFmtId="199" fontId="6" fillId="0" borderId="6" xfId="25" applyNumberFormat="1" applyFill="1" applyBorder="1">
      <protection hidden="1"/>
    </xf>
    <xf numFmtId="199" fontId="1" fillId="0" borderId="6" xfId="2" applyNumberFormat="1" applyFill="1" applyBorder="1">
      <protection hidden="1"/>
    </xf>
    <xf numFmtId="9" fontId="6" fillId="0" borderId="6" xfId="25" applyNumberFormat="1" applyFill="1" applyBorder="1">
      <protection hidden="1"/>
    </xf>
    <xf numFmtId="9" fontId="1" fillId="0" borderId="6" xfId="2" applyNumberFormat="1" applyFill="1" applyBorder="1">
      <protection hidden="1"/>
    </xf>
    <xf numFmtId="199" fontId="6" fillId="0" borderId="6" xfId="25" applyNumberFormat="1" applyFont="1" applyFill="1" applyBorder="1">
      <protection hidden="1"/>
    </xf>
    <xf numFmtId="199" fontId="1" fillId="0" borderId="6" xfId="1" applyNumberFormat="1" applyFont="1" applyFill="1" applyBorder="1" applyProtection="1">
      <protection hidden="1"/>
    </xf>
    <xf numFmtId="9" fontId="6" fillId="0" borderId="6" xfId="25" applyNumberFormat="1" applyFont="1" applyFill="1" applyBorder="1">
      <protection hidden="1"/>
    </xf>
    <xf numFmtId="199" fontId="6" fillId="0" borderId="6" xfId="25" applyNumberFormat="1" applyFill="1" applyBorder="1" applyAlignment="1">
      <alignment vertical="center"/>
      <protection hidden="1"/>
    </xf>
    <xf numFmtId="199" fontId="1" fillId="0" borderId="6" xfId="2" applyNumberFormat="1" applyFill="1" applyBorder="1" applyAlignment="1">
      <alignment horizontal="right"/>
      <protection hidden="1"/>
    </xf>
    <xf numFmtId="170" fontId="5" fillId="0" borderId="0" xfId="23" applyNumberFormat="1" applyFont="1" applyFill="1" applyBorder="1" applyAlignment="1" applyProtection="1">
      <alignment horizontal="left"/>
      <protection locked="0"/>
    </xf>
    <xf numFmtId="2" fontId="5" fillId="0" borderId="0" xfId="24" applyNumberFormat="1" applyFont="1" applyFill="1" applyBorder="1" applyAlignment="1" applyProtection="1">
      <alignment horizontal="center"/>
      <protection locked="0"/>
    </xf>
    <xf numFmtId="0" fontId="12" fillId="30" borderId="10" xfId="0" applyFont="1" applyFill="1" applyBorder="1" applyAlignment="1" applyProtection="1">
      <protection hidden="1"/>
    </xf>
    <xf numFmtId="0" fontId="12" fillId="30" borderId="6" xfId="0" applyFont="1" applyFill="1" applyBorder="1" applyAlignment="1" applyProtection="1">
      <protection hidden="1"/>
    </xf>
    <xf numFmtId="165" fontId="5" fillId="31" borderId="11" xfId="1" applyNumberFormat="1" applyFont="1" applyFill="1" applyBorder="1" applyAlignment="1" applyProtection="1">
      <alignment horizontal="right"/>
      <protection hidden="1"/>
    </xf>
    <xf numFmtId="166" fontId="1" fillId="31" borderId="10" xfId="1" applyNumberFormat="1" applyFont="1" applyFill="1" applyBorder="1" applyProtection="1">
      <protection hidden="1"/>
    </xf>
    <xf numFmtId="166" fontId="5" fillId="31" borderId="6" xfId="1" applyNumberFormat="1" applyFont="1" applyFill="1" applyBorder="1" applyProtection="1">
      <protection hidden="1"/>
    </xf>
    <xf numFmtId="165" fontId="1" fillId="31" borderId="6" xfId="1" applyNumberFormat="1" applyFont="1" applyFill="1" applyBorder="1" applyAlignment="1" applyProtection="1">
      <alignment horizontal="right"/>
      <protection hidden="1"/>
    </xf>
    <xf numFmtId="165" fontId="3" fillId="31" borderId="6" xfId="1" applyNumberFormat="1" applyFont="1" applyFill="1" applyBorder="1" applyAlignment="1" applyProtection="1">
      <alignment horizontal="right"/>
      <protection hidden="1"/>
    </xf>
    <xf numFmtId="165" fontId="1" fillId="31" borderId="22" xfId="1" applyNumberFormat="1" applyFont="1" applyFill="1" applyBorder="1" applyAlignment="1" applyProtection="1">
      <alignment horizontal="right"/>
      <protection hidden="1"/>
    </xf>
    <xf numFmtId="165" fontId="3" fillId="31" borderId="22" xfId="1" applyNumberFormat="1" applyFont="1" applyFill="1" applyBorder="1" applyAlignment="1" applyProtection="1">
      <alignment horizontal="right"/>
      <protection hidden="1"/>
    </xf>
    <xf numFmtId="166" fontId="1" fillId="31" borderId="26" xfId="1" applyNumberFormat="1" applyFont="1" applyFill="1" applyBorder="1" applyProtection="1">
      <protection hidden="1"/>
    </xf>
    <xf numFmtId="166" fontId="5" fillId="31" borderId="22" xfId="1" applyNumberFormat="1" applyFont="1" applyFill="1" applyBorder="1" applyProtection="1">
      <protection hidden="1"/>
    </xf>
    <xf numFmtId="166" fontId="1" fillId="31" borderId="23" xfId="1" applyNumberFormat="1" applyFont="1" applyFill="1" applyBorder="1" applyProtection="1">
      <protection hidden="1"/>
    </xf>
    <xf numFmtId="166" fontId="5" fillId="31" borderId="24" xfId="1" applyNumberFormat="1" applyFont="1" applyFill="1" applyBorder="1" applyProtection="1">
      <protection hidden="1"/>
    </xf>
    <xf numFmtId="165" fontId="1" fillId="31" borderId="24" xfId="1" applyNumberFormat="1" applyFont="1" applyFill="1" applyBorder="1" applyAlignment="1" applyProtection="1">
      <alignment horizontal="right"/>
      <protection hidden="1"/>
    </xf>
    <xf numFmtId="166" fontId="5" fillId="31" borderId="8" xfId="1" applyNumberFormat="1" applyFont="1" applyFill="1" applyBorder="1" applyProtection="1">
      <protection hidden="1"/>
    </xf>
    <xf numFmtId="166" fontId="5" fillId="31" borderId="25" xfId="1" applyNumberFormat="1" applyFont="1" applyFill="1" applyBorder="1" applyAlignment="1" applyProtection="1">
      <alignment horizontal="right"/>
      <protection hidden="1"/>
    </xf>
    <xf numFmtId="165" fontId="5" fillId="31" borderId="25" xfId="1" applyNumberFormat="1" applyFont="1" applyFill="1" applyBorder="1" applyProtection="1">
      <protection hidden="1"/>
    </xf>
    <xf numFmtId="165" fontId="5" fillId="31" borderId="59" xfId="1" applyNumberFormat="1" applyFont="1" applyFill="1" applyBorder="1" applyAlignment="1" applyProtection="1">
      <alignment horizontal="right"/>
      <protection hidden="1"/>
    </xf>
    <xf numFmtId="165" fontId="5" fillId="31" borderId="58" xfId="1" applyNumberFormat="1" applyFont="1" applyFill="1" applyBorder="1" applyAlignment="1" applyProtection="1">
      <alignment horizontal="right"/>
      <protection hidden="1"/>
    </xf>
    <xf numFmtId="166" fontId="1" fillId="31" borderId="27" xfId="1" applyNumberFormat="1" applyFont="1" applyFill="1" applyBorder="1" applyProtection="1">
      <protection hidden="1"/>
    </xf>
    <xf numFmtId="166" fontId="5" fillId="31" borderId="28" xfId="1" applyNumberFormat="1" applyFont="1" applyFill="1" applyBorder="1" applyAlignment="1" applyProtection="1">
      <alignment horizontal="right"/>
      <protection hidden="1"/>
    </xf>
    <xf numFmtId="165" fontId="5" fillId="31" borderId="29" xfId="1" applyNumberFormat="1" applyFont="1" applyFill="1" applyBorder="1" applyAlignment="1" applyProtection="1">
      <alignment horizontal="right"/>
      <protection hidden="1"/>
    </xf>
    <xf numFmtId="165" fontId="5" fillId="31" borderId="4" xfId="1" applyNumberFormat="1" applyFont="1" applyFill="1" applyBorder="1" applyAlignment="1" applyProtection="1">
      <alignment horizontal="right"/>
      <protection hidden="1"/>
    </xf>
    <xf numFmtId="0" fontId="68" fillId="0" borderId="0" xfId="0" applyFont="1" applyBorder="1" applyAlignment="1"/>
    <xf numFmtId="0" fontId="0" fillId="0" borderId="0" xfId="0" applyBorder="1" applyAlignment="1" applyProtection="1">
      <alignment horizontal="left"/>
      <protection hidden="1"/>
    </xf>
    <xf numFmtId="0" fontId="29" fillId="0" borderId="5" xfId="0" applyFont="1" applyBorder="1"/>
    <xf numFmtId="44" fontId="29" fillId="0" borderId="0" xfId="7" applyFont="1" applyBorder="1"/>
    <xf numFmtId="0" fontId="29" fillId="28" borderId="5" xfId="0" applyFont="1" applyFill="1" applyBorder="1"/>
    <xf numFmtId="44" fontId="29" fillId="28" borderId="0" xfId="7" applyFont="1" applyFill="1" applyBorder="1"/>
    <xf numFmtId="44" fontId="54" fillId="28" borderId="0" xfId="7" applyFont="1" applyFill="1" applyBorder="1"/>
    <xf numFmtId="0" fontId="29" fillId="28" borderId="0" xfId="0" applyFont="1" applyFill="1" applyBorder="1"/>
    <xf numFmtId="0" fontId="54" fillId="0" borderId="15" xfId="0" applyFont="1" applyFill="1" applyBorder="1"/>
    <xf numFmtId="199" fontId="1" fillId="0" borderId="11" xfId="2" applyNumberFormat="1" applyFill="1" applyBorder="1">
      <protection hidden="1"/>
    </xf>
    <xf numFmtId="0" fontId="54" fillId="28" borderId="0" xfId="0" applyFont="1" applyFill="1" applyBorder="1"/>
    <xf numFmtId="199" fontId="1" fillId="0" borderId="11" xfId="1" applyNumberFormat="1" applyFont="1" applyFill="1" applyBorder="1" applyProtection="1">
      <protection hidden="1"/>
    </xf>
    <xf numFmtId="0" fontId="1" fillId="28" borderId="24" xfId="2" applyNumberFormat="1" applyFill="1" applyBorder="1" applyAlignment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200" fontId="6" fillId="0" borderId="24" xfId="25" applyNumberFormat="1" applyFill="1" applyBorder="1">
      <protection hidden="1"/>
    </xf>
    <xf numFmtId="0" fontId="0" fillId="0" borderId="65" xfId="0" applyFill="1" applyBorder="1" applyAlignment="1" applyProtection="1">
      <alignment horizontal="center"/>
      <protection hidden="1"/>
    </xf>
    <xf numFmtId="200" fontId="6" fillId="0" borderId="74" xfId="25" applyNumberFormat="1" applyFill="1" applyBorder="1">
      <protection hidden="1"/>
    </xf>
    <xf numFmtId="0" fontId="0" fillId="32" borderId="0" xfId="0" applyFill="1" applyBorder="1"/>
    <xf numFmtId="185" fontId="0" fillId="32" borderId="0" xfId="7" applyNumberFormat="1" applyFont="1" applyFill="1"/>
    <xf numFmtId="0" fontId="0" fillId="32" borderId="0" xfId="0" applyFill="1"/>
    <xf numFmtId="0" fontId="14" fillId="14" borderId="20" xfId="14" applyFont="1" applyFill="1" applyBorder="1" applyAlignment="1" applyProtection="1">
      <alignment horizontal="left" vertical="top"/>
      <protection hidden="1"/>
    </xf>
    <xf numFmtId="0" fontId="0" fillId="32" borderId="56" xfId="0" applyFill="1" applyBorder="1"/>
    <xf numFmtId="0" fontId="0" fillId="0" borderId="0" xfId="0" applyFill="1" applyAlignment="1"/>
    <xf numFmtId="0" fontId="18" fillId="21" borderId="81" xfId="29" applyNumberFormat="1" applyFont="1" applyFill="1" applyBorder="1" applyAlignment="1">
      <alignment horizontal="center"/>
      <protection locked="0"/>
    </xf>
    <xf numFmtId="0" fontId="18" fillId="21" borderId="55" xfId="29" applyNumberFormat="1" applyFont="1" applyFill="1" applyBorder="1" applyAlignment="1">
      <alignment horizontal="center"/>
      <protection locked="0"/>
    </xf>
    <xf numFmtId="0" fontId="7" fillId="0" borderId="0" xfId="29" applyFont="1" applyFill="1" applyBorder="1" applyProtection="1">
      <protection locked="0"/>
    </xf>
    <xf numFmtId="0" fontId="9" fillId="0" borderId="55" xfId="0" applyFont="1" applyFill="1" applyBorder="1" applyAlignment="1" applyProtection="1">
      <alignment horizontal="center" wrapText="1"/>
      <protection hidden="1"/>
    </xf>
    <xf numFmtId="0" fontId="5" fillId="24" borderId="42" xfId="24" applyFill="1" applyBorder="1" applyAlignment="1">
      <alignment horizontal="left"/>
      <protection locked="0"/>
    </xf>
    <xf numFmtId="0" fontId="5" fillId="24" borderId="25" xfId="24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Protection="1">
      <protection hidden="1"/>
    </xf>
    <xf numFmtId="0" fontId="8" fillId="0" borderId="0" xfId="16" applyFont="1" applyFill="1" applyBorder="1" applyAlignment="1"/>
    <xf numFmtId="199" fontId="0" fillId="0" borderId="0" xfId="0" applyNumberFormat="1" applyBorder="1"/>
    <xf numFmtId="192" fontId="30" fillId="0" borderId="0" xfId="3" applyNumberFormat="1" applyFont="1" applyFill="1" applyBorder="1" applyAlignment="1"/>
    <xf numFmtId="170" fontId="18" fillId="21" borderId="7" xfId="23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wrapText="1"/>
      <protection hidden="1"/>
    </xf>
    <xf numFmtId="2" fontId="5" fillId="24" borderId="67" xfId="24" applyNumberFormat="1" applyFont="1" applyFill="1" applyBorder="1" applyAlignment="1">
      <alignment horizontal="center"/>
      <protection locked="0"/>
    </xf>
    <xf numFmtId="2" fontId="5" fillId="24" borderId="37" xfId="24" applyNumberFormat="1" applyFont="1" applyFill="1" applyBorder="1" applyAlignment="1">
      <alignment horizontal="center"/>
      <protection locked="0"/>
    </xf>
    <xf numFmtId="0" fontId="0" fillId="0" borderId="52" xfId="0" applyBorder="1"/>
    <xf numFmtId="0" fontId="5" fillId="24" borderId="44" xfId="24" applyFill="1" applyBorder="1" applyProtection="1">
      <alignment horizontal="center"/>
      <protection locked="0"/>
    </xf>
    <xf numFmtId="0" fontId="70" fillId="0" borderId="12" xfId="0" applyFont="1" applyFill="1" applyBorder="1" applyAlignment="1" applyProtection="1">
      <alignment horizontal="center" wrapText="1"/>
      <protection hidden="1"/>
    </xf>
    <xf numFmtId="0" fontId="70" fillId="0" borderId="12" xfId="0" applyFont="1" applyBorder="1" applyAlignment="1" applyProtection="1">
      <alignment horizontal="center" wrapText="1"/>
      <protection hidden="1"/>
    </xf>
    <xf numFmtId="3" fontId="71" fillId="21" borderId="25" xfId="29" applyNumberFormat="1" applyFont="1" applyFill="1" applyBorder="1" applyAlignment="1">
      <alignment horizontal="center"/>
      <protection locked="0"/>
    </xf>
    <xf numFmtId="170" fontId="71" fillId="21" borderId="25" xfId="23" applyNumberFormat="1" applyFont="1" applyFill="1" applyBorder="1" applyAlignment="1" applyProtection="1">
      <alignment horizontal="center"/>
      <protection locked="0"/>
    </xf>
    <xf numFmtId="0" fontId="72" fillId="24" borderId="25" xfId="24" applyFont="1" applyFill="1" applyBorder="1" applyAlignment="1" applyProtection="1">
      <alignment horizontal="left"/>
      <protection locked="0"/>
    </xf>
    <xf numFmtId="2" fontId="72" fillId="24" borderId="44" xfId="24" applyNumberFormat="1" applyFont="1" applyFill="1" applyBorder="1" applyAlignment="1">
      <alignment horizontal="center"/>
      <protection locked="0"/>
    </xf>
    <xf numFmtId="3" fontId="71" fillId="21" borderId="25" xfId="29" applyNumberFormat="1" applyFont="1" applyFill="1" applyBorder="1" applyAlignment="1" applyProtection="1">
      <alignment horizontal="center"/>
      <protection locked="0"/>
    </xf>
    <xf numFmtId="170" fontId="71" fillId="21" borderId="6" xfId="23" applyNumberFormat="1" applyFont="1" applyFill="1" applyBorder="1" applyAlignment="1" applyProtection="1">
      <alignment horizontal="center"/>
      <protection locked="0"/>
    </xf>
    <xf numFmtId="0" fontId="72" fillId="24" borderId="6" xfId="24" applyFont="1" applyFill="1" applyBorder="1" applyAlignment="1" applyProtection="1">
      <alignment horizontal="left"/>
      <protection locked="0"/>
    </xf>
    <xf numFmtId="0" fontId="1" fillId="0" borderId="0" xfId="24" applyFont="1" applyFill="1" applyBorder="1" applyAlignment="1" applyProtection="1">
      <alignment horizontal="left"/>
      <protection locked="0"/>
    </xf>
    <xf numFmtId="0" fontId="73" fillId="0" borderId="0" xfId="0" applyFont="1" applyFill="1" applyBorder="1"/>
    <xf numFmtId="1" fontId="73" fillId="0" borderId="0" xfId="0" applyNumberFormat="1" applyFont="1" applyFill="1" applyBorder="1"/>
    <xf numFmtId="2" fontId="73" fillId="0" borderId="0" xfId="0" applyNumberFormat="1" applyFont="1" applyFill="1" applyBorder="1"/>
    <xf numFmtId="168" fontId="73" fillId="0" borderId="0" xfId="0" applyNumberFormat="1" applyFont="1" applyFill="1" applyBorder="1"/>
    <xf numFmtId="0" fontId="75" fillId="0" borderId="0" xfId="0" applyFont="1" applyFill="1" applyBorder="1" applyAlignment="1"/>
    <xf numFmtId="9" fontId="74" fillId="0" borderId="0" xfId="23" quotePrefix="1" applyNumberFormat="1" applyFont="1" applyFill="1" applyBorder="1"/>
    <xf numFmtId="9" fontId="73" fillId="0" borderId="0" xfId="0" applyNumberFormat="1" applyFont="1" applyFill="1" applyBorder="1"/>
    <xf numFmtId="9" fontId="73" fillId="0" borderId="0" xfId="23" applyNumberFormat="1" applyFont="1" applyFill="1" applyBorder="1"/>
    <xf numFmtId="170" fontId="76" fillId="0" borderId="0" xfId="0" applyNumberFormat="1" applyFont="1" applyFill="1" applyBorder="1"/>
    <xf numFmtId="2" fontId="73" fillId="33" borderId="0" xfId="0" applyNumberFormat="1" applyFont="1" applyFill="1" applyBorder="1"/>
    <xf numFmtId="2" fontId="75" fillId="0" borderId="0" xfId="0" applyNumberFormat="1" applyFont="1" applyFill="1" applyBorder="1" applyAlignment="1"/>
    <xf numFmtId="170" fontId="74" fillId="0" borderId="0" xfId="23" quotePrefix="1" applyNumberFormat="1" applyFont="1" applyFill="1" applyBorder="1"/>
    <xf numFmtId="170" fontId="73" fillId="0" borderId="0" xfId="0" applyNumberFormat="1" applyFont="1" applyFill="1" applyBorder="1"/>
    <xf numFmtId="9" fontId="73" fillId="0" borderId="0" xfId="23" applyFont="1" applyFill="1" applyBorder="1"/>
    <xf numFmtId="170" fontId="73" fillId="0" borderId="0" xfId="23" applyNumberFormat="1" applyFont="1" applyFill="1" applyBorder="1"/>
    <xf numFmtId="0" fontId="73" fillId="0" borderId="0" xfId="0" applyFont="1" applyFill="1" applyBorder="1" applyAlignment="1">
      <alignment horizontal="center"/>
    </xf>
    <xf numFmtId="0" fontId="8" fillId="17" borderId="20" xfId="16" applyFont="1" applyFill="1" applyBorder="1" applyAlignment="1">
      <alignment horizontal="center"/>
    </xf>
    <xf numFmtId="0" fontId="0" fillId="0" borderId="0" xfId="0" applyNumberFormat="1"/>
    <xf numFmtId="0" fontId="0" fillId="35" borderId="6" xfId="0" applyFill="1" applyBorder="1"/>
    <xf numFmtId="0" fontId="73" fillId="36" borderId="0" xfId="0" applyFont="1" applyFill="1" applyBorder="1" applyAlignment="1">
      <alignment horizontal="center"/>
    </xf>
    <xf numFmtId="0" fontId="73" fillId="34" borderId="0" xfId="0" applyFont="1" applyFill="1" applyBorder="1"/>
    <xf numFmtId="2" fontId="73" fillId="25" borderId="0" xfId="0" applyNumberFormat="1" applyFont="1" applyFill="1" applyBorder="1"/>
    <xf numFmtId="0" fontId="0" fillId="35" borderId="25" xfId="0" applyFill="1" applyBorder="1"/>
    <xf numFmtId="0" fontId="69" fillId="18" borderId="12" xfId="0" applyFont="1" applyFill="1" applyBorder="1" applyAlignment="1" applyProtection="1">
      <alignment horizontal="center" wrapText="1"/>
      <protection hidden="1"/>
    </xf>
    <xf numFmtId="0" fontId="14" fillId="0" borderId="0" xfId="22" applyFont="1" applyFill="1" applyBorder="1">
      <protection hidden="1"/>
    </xf>
    <xf numFmtId="0" fontId="5" fillId="0" borderId="55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/>
    <xf numFmtId="0" fontId="8" fillId="7" borderId="20" xfId="17" applyBorder="1" applyAlignment="1"/>
    <xf numFmtId="0" fontId="8" fillId="7" borderId="3" xfId="17" applyBorder="1" applyAlignment="1"/>
    <xf numFmtId="0" fontId="8" fillId="7" borderId="21" xfId="17" applyBorder="1" applyAlignment="1"/>
    <xf numFmtId="0" fontId="5" fillId="24" borderId="43" xfId="24" applyFont="1" applyFill="1" applyBorder="1" applyAlignment="1">
      <alignment horizontal="left"/>
      <protection locked="0"/>
    </xf>
    <xf numFmtId="0" fontId="9" fillId="0" borderId="52" xfId="0" applyFont="1" applyFill="1" applyBorder="1" applyAlignment="1" applyProtection="1">
      <alignment horizontal="center" wrapText="1"/>
      <protection hidden="1"/>
    </xf>
    <xf numFmtId="1" fontId="18" fillId="21" borderId="53" xfId="29" applyNumberFormat="1" applyFont="1" applyFill="1" applyBorder="1" applyAlignment="1">
      <alignment horizontal="center"/>
      <protection locked="0"/>
    </xf>
    <xf numFmtId="0" fontId="9" fillId="22" borderId="19" xfId="0" applyFont="1" applyFill="1" applyBorder="1" applyAlignment="1" applyProtection="1">
      <alignment horizontal="center" wrapText="1"/>
      <protection hidden="1"/>
    </xf>
    <xf numFmtId="4" fontId="18" fillId="22" borderId="7" xfId="29" applyNumberFormat="1" applyFont="1" applyFill="1" applyBorder="1" applyAlignment="1">
      <alignment horizontal="center"/>
      <protection locked="0"/>
    </xf>
    <xf numFmtId="4" fontId="7" fillId="22" borderId="7" xfId="29" applyNumberFormat="1" applyFont="1" applyFill="1" applyBorder="1" applyAlignment="1" applyProtection="1">
      <alignment horizontal="center"/>
      <protection locked="0"/>
    </xf>
    <xf numFmtId="0" fontId="5" fillId="24" borderId="25" xfId="24" applyFont="1" applyFill="1" applyBorder="1" applyAlignment="1">
      <alignment horizontal="left"/>
      <protection locked="0"/>
    </xf>
    <xf numFmtId="3" fontId="18" fillId="21" borderId="43" xfId="29" applyNumberFormat="1" applyFont="1" applyFill="1" applyBorder="1" applyAlignment="1">
      <alignment horizontal="center"/>
      <protection locked="0"/>
    </xf>
    <xf numFmtId="170" fontId="18" fillId="21" borderId="37" xfId="23" applyNumberFormat="1" applyFont="1" applyFill="1" applyBorder="1" applyAlignment="1" applyProtection="1">
      <alignment horizontal="center"/>
      <protection locked="0"/>
    </xf>
    <xf numFmtId="3" fontId="18" fillId="21" borderId="66" xfId="29" applyNumberFormat="1" applyFont="1" applyFill="1" applyBorder="1" applyAlignment="1">
      <alignment horizontal="center"/>
      <protection locked="0"/>
    </xf>
    <xf numFmtId="3" fontId="18" fillId="21" borderId="25" xfId="29" applyNumberFormat="1" applyFont="1" applyFill="1" applyBorder="1" applyAlignment="1">
      <alignment horizontal="center"/>
      <protection locked="0"/>
    </xf>
    <xf numFmtId="0" fontId="9" fillId="22" borderId="14" xfId="0" applyFont="1" applyFill="1" applyBorder="1" applyAlignment="1" applyProtection="1">
      <alignment horizontal="center" wrapText="1"/>
      <protection hidden="1"/>
    </xf>
    <xf numFmtId="189" fontId="1" fillId="0" borderId="2" xfId="0" applyNumberFormat="1" applyFont="1" applyFill="1" applyBorder="1" applyProtection="1">
      <protection hidden="1"/>
    </xf>
    <xf numFmtId="0" fontId="36" fillId="0" borderId="0" xfId="0" applyFont="1"/>
    <xf numFmtId="198" fontId="30" fillId="0" borderId="0" xfId="0" applyNumberFormat="1" applyFont="1" applyFill="1" applyBorder="1" applyProtection="1">
      <protection hidden="1"/>
    </xf>
    <xf numFmtId="0" fontId="30" fillId="0" borderId="0" xfId="0" applyFont="1" applyFill="1" applyBorder="1" applyProtection="1">
      <protection hidden="1"/>
    </xf>
    <xf numFmtId="198" fontId="30" fillId="0" borderId="0" xfId="0" applyNumberFormat="1" applyFont="1" applyFill="1" applyBorder="1"/>
    <xf numFmtId="175" fontId="0" fillId="0" borderId="0" xfId="0" applyNumberFormat="1" applyFill="1" applyBorder="1" applyAlignment="1">
      <alignment horizontal="center"/>
    </xf>
    <xf numFmtId="0" fontId="30" fillId="37" borderId="0" xfId="0" applyFont="1" applyFill="1"/>
    <xf numFmtId="197" fontId="78" fillId="25" borderId="6" xfId="0" applyNumberFormat="1" applyFont="1" applyFill="1" applyBorder="1" applyAlignment="1" applyProtection="1">
      <alignment horizontal="left"/>
      <protection locked="0"/>
    </xf>
    <xf numFmtId="0" fontId="1" fillId="0" borderId="0" xfId="20" applyBorder="1">
      <protection hidden="1"/>
    </xf>
    <xf numFmtId="0" fontId="1" fillId="0" borderId="0" xfId="20" applyFont="1" applyBorder="1">
      <protection hidden="1"/>
    </xf>
    <xf numFmtId="0" fontId="14" fillId="14" borderId="3" xfId="14" applyFont="1" applyFill="1" applyBorder="1" applyAlignment="1" applyProtection="1">
      <alignment vertical="top"/>
      <protection hidden="1"/>
    </xf>
    <xf numFmtId="0" fontId="14" fillId="14" borderId="21" xfId="14" applyFont="1" applyFill="1" applyBorder="1" applyAlignment="1" applyProtection="1">
      <alignment vertical="top"/>
      <protection hidden="1"/>
    </xf>
    <xf numFmtId="0" fontId="5" fillId="16" borderId="20" xfId="0" applyFont="1" applyFill="1" applyBorder="1" applyAlignment="1" applyProtection="1">
      <alignment vertical="center"/>
      <protection hidden="1"/>
    </xf>
    <xf numFmtId="0" fontId="5" fillId="16" borderId="3" xfId="0" applyFont="1" applyFill="1" applyBorder="1" applyAlignment="1" applyProtection="1">
      <alignment vertical="center"/>
      <protection hidden="1"/>
    </xf>
    <xf numFmtId="0" fontId="5" fillId="16" borderId="21" xfId="0" applyFont="1" applyFill="1" applyBorder="1" applyAlignment="1" applyProtection="1">
      <alignment vertical="center"/>
      <protection hidden="1"/>
    </xf>
    <xf numFmtId="165" fontId="5" fillId="0" borderId="48" xfId="2" applyNumberFormat="1" applyFont="1" applyFill="1" applyBorder="1">
      <protection hidden="1"/>
    </xf>
    <xf numFmtId="1" fontId="1" fillId="0" borderId="0" xfId="2" applyNumberFormat="1" applyFont="1" applyFill="1" applyBorder="1" applyAlignment="1">
      <alignment horizontal="center"/>
      <protection hidden="1"/>
    </xf>
    <xf numFmtId="165" fontId="5" fillId="0" borderId="0" xfId="2" applyNumberFormat="1" applyFont="1" applyFill="1" applyBorder="1">
      <protection hidden="1"/>
    </xf>
    <xf numFmtId="189" fontId="1" fillId="0" borderId="0" xfId="7" applyNumberFormat="1" applyFont="1" applyFill="1" applyBorder="1" applyAlignment="1" applyProtection="1">
      <alignment horizontal="center"/>
      <protection hidden="1"/>
    </xf>
    <xf numFmtId="1" fontId="1" fillId="0" borderId="0" xfId="7" applyNumberFormat="1" applyFont="1" applyFill="1" applyBorder="1" applyAlignment="1" applyProtection="1">
      <alignment horizontal="center"/>
      <protection hidden="1"/>
    </xf>
    <xf numFmtId="192" fontId="1" fillId="0" borderId="0" xfId="1" applyNumberFormat="1" applyFont="1" applyFill="1" applyBorder="1" applyAlignment="1" applyProtection="1">
      <alignment horizontal="center" vertical="center"/>
      <protection hidden="1"/>
    </xf>
    <xf numFmtId="168" fontId="1" fillId="0" borderId="0" xfId="1" applyNumberFormat="1" applyFont="1" applyFill="1" applyBorder="1" applyAlignment="1" applyProtection="1">
      <alignment horizontal="center"/>
      <protection hidden="1"/>
    </xf>
    <xf numFmtId="189" fontId="1" fillId="0" borderId="0" xfId="2" applyNumberFormat="1" applyFont="1" applyFill="1" applyBorder="1" applyAlignment="1">
      <alignment horizontal="center"/>
      <protection hidden="1"/>
    </xf>
    <xf numFmtId="0" fontId="8" fillId="17" borderId="3" xfId="16" applyFont="1" applyFill="1" applyBorder="1" applyAlignment="1">
      <alignment horizontal="center"/>
    </xf>
    <xf numFmtId="3" fontId="1" fillId="27" borderId="72" xfId="2" applyNumberFormat="1" applyFont="1" applyFill="1" applyBorder="1" applyAlignment="1">
      <alignment horizontal="left"/>
      <protection hidden="1"/>
    </xf>
    <xf numFmtId="3" fontId="1" fillId="27" borderId="75" xfId="2" applyNumberFormat="1" applyFont="1" applyFill="1" applyBorder="1" applyAlignment="1">
      <alignment horizontal="left"/>
      <protection hidden="1"/>
    </xf>
    <xf numFmtId="0" fontId="0" fillId="28" borderId="22" xfId="0" applyFill="1" applyBorder="1" applyAlignment="1" applyProtection="1">
      <alignment horizontal="center"/>
      <protection hidden="1"/>
    </xf>
    <xf numFmtId="0" fontId="0" fillId="28" borderId="22" xfId="0" applyFill="1" applyBorder="1" applyAlignment="1" applyProtection="1">
      <alignment horizontal="center" vertical="center"/>
      <protection hidden="1"/>
    </xf>
    <xf numFmtId="3" fontId="0" fillId="28" borderId="22" xfId="0" applyNumberFormat="1" applyFill="1" applyBorder="1" applyAlignment="1" applyProtection="1">
      <alignment horizontal="center" vertical="center"/>
      <protection hidden="1"/>
    </xf>
    <xf numFmtId="199" fontId="6" fillId="0" borderId="92" xfId="25" applyNumberFormat="1" applyFill="1" applyBorder="1">
      <protection hidden="1"/>
    </xf>
    <xf numFmtId="199" fontId="1" fillId="0" borderId="17" xfId="2" applyNumberFormat="1" applyFill="1" applyBorder="1"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199" fontId="1" fillId="0" borderId="18" xfId="2" applyNumberFormat="1" applyFill="1" applyBorder="1">
      <protection hidden="1"/>
    </xf>
    <xf numFmtId="199" fontId="1" fillId="0" borderId="22" xfId="2" applyNumberFormat="1" applyFill="1" applyBorder="1">
      <protection hidden="1"/>
    </xf>
    <xf numFmtId="0" fontId="19" fillId="23" borderId="7" xfId="24" applyFont="1" applyFill="1" applyBorder="1" applyAlignment="1">
      <alignment horizontal="center"/>
      <protection locked="0"/>
    </xf>
    <xf numFmtId="0" fontId="0" fillId="0" borderId="22" xfId="0" applyFill="1" applyBorder="1" applyProtection="1">
      <protection hidden="1"/>
    </xf>
    <xf numFmtId="0" fontId="14" fillId="0" borderId="0" xfId="22" applyFont="1" applyFill="1" applyBorder="1" applyAlignment="1">
      <protection hidden="1"/>
    </xf>
    <xf numFmtId="0" fontId="42" fillId="0" borderId="0" xfId="0" applyFont="1" applyAlignment="1">
      <alignment vertical="center"/>
    </xf>
    <xf numFmtId="0" fontId="33" fillId="0" borderId="42" xfId="0" applyFont="1" applyFill="1" applyBorder="1" applyProtection="1">
      <protection hidden="1"/>
    </xf>
    <xf numFmtId="0" fontId="36" fillId="0" borderId="76" xfId="0" applyFont="1" applyBorder="1"/>
    <xf numFmtId="0" fontId="38" fillId="0" borderId="0" xfId="0" applyFont="1" applyFill="1" applyBorder="1" applyAlignment="1" applyProtection="1">
      <alignment horizontal="center" wrapText="1"/>
      <protection hidden="1"/>
    </xf>
    <xf numFmtId="0" fontId="1" fillId="0" borderId="51" xfId="0" applyFont="1" applyFill="1" applyBorder="1" applyProtection="1">
      <protection hidden="1"/>
    </xf>
    <xf numFmtId="0" fontId="0" fillId="0" borderId="17" xfId="0" applyFill="1" applyBorder="1" applyProtection="1">
      <protection hidden="1"/>
    </xf>
    <xf numFmtId="0" fontId="0" fillId="0" borderId="25" xfId="0" applyFill="1" applyBorder="1" applyProtection="1">
      <protection hidden="1"/>
    </xf>
    <xf numFmtId="0" fontId="0" fillId="0" borderId="17" xfId="0" applyBorder="1"/>
    <xf numFmtId="198" fontId="0" fillId="0" borderId="51" xfId="0" applyNumberFormat="1" applyBorder="1"/>
    <xf numFmtId="166" fontId="5" fillId="0" borderId="0" xfId="1" applyNumberFormat="1" applyFont="1" applyFill="1" applyBorder="1" applyAlignment="1" applyProtection="1">
      <alignment horizontal="centerContinuous"/>
      <protection hidden="1"/>
    </xf>
    <xf numFmtId="166" fontId="5" fillId="0" borderId="0" xfId="1" applyNumberFormat="1" applyFont="1" applyFill="1" applyBorder="1" applyProtection="1">
      <protection hidden="1"/>
    </xf>
    <xf numFmtId="188" fontId="7" fillId="38" borderId="53" xfId="1" applyNumberFormat="1" applyFont="1" applyFill="1" applyBorder="1" applyAlignment="1" applyProtection="1">
      <alignment horizontal="left"/>
      <protection hidden="1"/>
    </xf>
    <xf numFmtId="191" fontId="1" fillId="38" borderId="8" xfId="1" applyNumberFormat="1" applyFont="1" applyFill="1" applyBorder="1" applyProtection="1">
      <protection hidden="1"/>
    </xf>
    <xf numFmtId="194" fontId="1" fillId="38" borderId="8" xfId="1" applyNumberFormat="1" applyFont="1" applyFill="1" applyBorder="1" applyProtection="1">
      <protection hidden="1"/>
    </xf>
    <xf numFmtId="165" fontId="5" fillId="38" borderId="27" xfId="1" applyNumberFormat="1" applyFont="1" applyFill="1" applyBorder="1" applyProtection="1">
      <protection hidden="1"/>
    </xf>
    <xf numFmtId="165" fontId="5" fillId="38" borderId="28" xfId="1" applyNumberFormat="1" applyFont="1" applyFill="1" applyBorder="1" applyProtection="1">
      <protection hidden="1"/>
    </xf>
    <xf numFmtId="165" fontId="5" fillId="38" borderId="29" xfId="1" applyNumberFormat="1" applyFont="1" applyFill="1" applyBorder="1" applyProtection="1">
      <protection hidden="1"/>
    </xf>
    <xf numFmtId="188" fontId="7" fillId="38" borderId="7" xfId="1" applyNumberFormat="1" applyFont="1" applyFill="1" applyBorder="1" applyAlignment="1" applyProtection="1">
      <alignment horizontal="left"/>
      <protection hidden="1"/>
    </xf>
    <xf numFmtId="189" fontId="1" fillId="38" borderId="50" xfId="3" applyNumberFormat="1" applyFont="1" applyFill="1" applyBorder="1" applyAlignment="1" applyProtection="1">
      <alignment horizontal="center"/>
      <protection hidden="1"/>
    </xf>
    <xf numFmtId="192" fontId="1" fillId="38" borderId="50" xfId="3" applyNumberFormat="1" applyFont="1" applyFill="1" applyBorder="1" applyAlignment="1" applyProtection="1">
      <alignment horizontal="center"/>
      <protection hidden="1"/>
    </xf>
    <xf numFmtId="191" fontId="1" fillId="38" borderId="81" xfId="1" applyNumberFormat="1" applyFont="1" applyFill="1" applyBorder="1" applyProtection="1">
      <protection hidden="1"/>
    </xf>
    <xf numFmtId="194" fontId="1" fillId="38" borderId="81" xfId="1" applyNumberFormat="1" applyFont="1" applyFill="1" applyBorder="1" applyProtection="1">
      <protection hidden="1"/>
    </xf>
    <xf numFmtId="191" fontId="1" fillId="38" borderId="50" xfId="1" applyNumberFormat="1" applyFont="1" applyFill="1" applyBorder="1" applyProtection="1">
      <protection hidden="1"/>
    </xf>
    <xf numFmtId="194" fontId="1" fillId="38" borderId="50" xfId="1" applyNumberFormat="1" applyFont="1" applyFill="1" applyBorder="1" applyProtection="1">
      <protection hidden="1"/>
    </xf>
    <xf numFmtId="189" fontId="1" fillId="38" borderId="54" xfId="3" applyNumberFormat="1" applyFont="1" applyFill="1" applyBorder="1" applyAlignment="1" applyProtection="1">
      <alignment horizontal="center"/>
      <protection hidden="1"/>
    </xf>
    <xf numFmtId="189" fontId="1" fillId="38" borderId="4" xfId="3" applyNumberFormat="1" applyFont="1" applyFill="1" applyBorder="1" applyAlignment="1" applyProtection="1">
      <alignment horizontal="center"/>
      <protection hidden="1"/>
    </xf>
    <xf numFmtId="168" fontId="3" fillId="38" borderId="4" xfId="1" applyNumberFormat="1" applyFont="1" applyFill="1" applyBorder="1" applyAlignment="1" applyProtection="1">
      <alignment horizontal="center"/>
      <protection hidden="1"/>
    </xf>
    <xf numFmtId="172" fontId="5" fillId="38" borderId="4" xfId="7" applyNumberFormat="1" applyFont="1" applyFill="1" applyBorder="1" applyAlignment="1" applyProtection="1">
      <alignment horizontal="right"/>
      <protection hidden="1"/>
    </xf>
    <xf numFmtId="165" fontId="5" fillId="38" borderId="4" xfId="1" applyNumberFormat="1" applyFont="1" applyFill="1" applyBorder="1" applyProtection="1">
      <protection hidden="1"/>
    </xf>
    <xf numFmtId="189" fontId="3" fillId="38" borderId="4" xfId="3" applyNumberFormat="1" applyFont="1" applyFill="1" applyBorder="1" applyAlignment="1" applyProtection="1">
      <alignment horizontal="center"/>
      <protection hidden="1"/>
    </xf>
    <xf numFmtId="188" fontId="7" fillId="38" borderId="11" xfId="2" applyNumberFormat="1" applyFont="1" applyFill="1" applyBorder="1" applyAlignment="1">
      <alignment horizontal="left"/>
      <protection hidden="1"/>
    </xf>
    <xf numFmtId="189" fontId="1" fillId="38" borderId="44" xfId="1" applyNumberFormat="1" applyFont="1" applyFill="1" applyBorder="1" applyAlignment="1" applyProtection="1">
      <alignment horizontal="center" vertical="center"/>
      <protection hidden="1"/>
    </xf>
    <xf numFmtId="189" fontId="1" fillId="38" borderId="66" xfId="1" applyNumberFormat="1" applyFont="1" applyFill="1" applyBorder="1" applyAlignment="1" applyProtection="1">
      <alignment horizontal="center" vertical="center"/>
      <protection hidden="1"/>
    </xf>
    <xf numFmtId="192" fontId="1" fillId="38" borderId="44" xfId="1" applyNumberFormat="1" applyFont="1" applyFill="1" applyBorder="1" applyAlignment="1" applyProtection="1">
      <alignment horizontal="center" vertical="center"/>
      <protection hidden="1"/>
    </xf>
    <xf numFmtId="193" fontId="1" fillId="38" borderId="44" xfId="1" applyNumberFormat="1" applyFont="1" applyFill="1" applyBorder="1" applyAlignment="1" applyProtection="1">
      <alignment horizontal="center" vertical="center"/>
      <protection hidden="1"/>
    </xf>
    <xf numFmtId="189" fontId="1" fillId="38" borderId="25" xfId="1" applyNumberFormat="1" applyFont="1" applyFill="1" applyBorder="1" applyAlignment="1" applyProtection="1">
      <alignment horizontal="center" vertical="center"/>
      <protection hidden="1"/>
    </xf>
    <xf numFmtId="191" fontId="1" fillId="38" borderId="78" xfId="1" applyNumberFormat="1" applyFont="1" applyFill="1" applyBorder="1" applyProtection="1">
      <protection hidden="1"/>
    </xf>
    <xf numFmtId="189" fontId="1" fillId="38" borderId="12" xfId="1" applyNumberFormat="1" applyFont="1" applyFill="1" applyBorder="1" applyAlignment="1" applyProtection="1">
      <alignment horizontal="center" vertical="center"/>
      <protection hidden="1"/>
    </xf>
    <xf numFmtId="191" fontId="1" fillId="38" borderId="55" xfId="1" applyNumberFormat="1" applyFont="1" applyFill="1" applyBorder="1" applyProtection="1">
      <protection hidden="1"/>
    </xf>
    <xf numFmtId="189" fontId="1" fillId="38" borderId="4" xfId="2" applyNumberFormat="1" applyFont="1" applyFill="1" applyBorder="1" applyAlignment="1">
      <alignment horizontal="center"/>
      <protection hidden="1"/>
    </xf>
    <xf numFmtId="1" fontId="1" fillId="38" borderId="4" xfId="2" applyNumberFormat="1" applyFont="1" applyFill="1" applyBorder="1" applyAlignment="1">
      <alignment horizontal="center"/>
      <protection hidden="1"/>
    </xf>
    <xf numFmtId="165" fontId="5" fillId="38" borderId="27" xfId="2" applyNumberFormat="1" applyFont="1" applyFill="1" applyBorder="1">
      <protection hidden="1"/>
    </xf>
    <xf numFmtId="165" fontId="5" fillId="38" borderId="28" xfId="2" applyNumberFormat="1" applyFont="1" applyFill="1" applyBorder="1">
      <protection hidden="1"/>
    </xf>
    <xf numFmtId="165" fontId="5" fillId="38" borderId="29" xfId="2" applyNumberFormat="1" applyFont="1" applyFill="1" applyBorder="1">
      <protection hidden="1"/>
    </xf>
    <xf numFmtId="189" fontId="1" fillId="38" borderId="8" xfId="1" applyNumberFormat="1" applyFont="1" applyFill="1" applyBorder="1" applyAlignment="1" applyProtection="1">
      <alignment horizontal="center" vertical="center"/>
      <protection hidden="1"/>
    </xf>
    <xf numFmtId="192" fontId="1" fillId="38" borderId="7" xfId="1" applyNumberFormat="1" applyFont="1" applyFill="1" applyBorder="1" applyAlignment="1" applyProtection="1">
      <alignment horizontal="center" vertical="center"/>
      <protection hidden="1"/>
    </xf>
    <xf numFmtId="191" fontId="1" fillId="38" borderId="25" xfId="1" applyNumberFormat="1" applyFont="1" applyFill="1" applyBorder="1" applyProtection="1">
      <protection hidden="1"/>
    </xf>
    <xf numFmtId="191" fontId="1" fillId="38" borderId="7" xfId="1" applyNumberFormat="1" applyFont="1" applyFill="1" applyBorder="1" applyProtection="1">
      <protection hidden="1"/>
    </xf>
    <xf numFmtId="189" fontId="3" fillId="38" borderId="27" xfId="3" applyNumberFormat="1" applyFont="1" applyFill="1" applyBorder="1" applyAlignment="1" applyProtection="1">
      <alignment horizontal="center"/>
      <protection hidden="1"/>
    </xf>
    <xf numFmtId="168" fontId="3" fillId="38" borderId="29" xfId="1" applyNumberFormat="1" applyFont="1" applyFill="1" applyBorder="1" applyAlignment="1" applyProtection="1">
      <alignment horizontal="center"/>
      <protection hidden="1"/>
    </xf>
    <xf numFmtId="191" fontId="1" fillId="38" borderId="59" xfId="1" applyNumberFormat="1" applyFont="1" applyFill="1" applyBorder="1" applyProtection="1">
      <protection hidden="1"/>
    </xf>
    <xf numFmtId="0" fontId="7" fillId="38" borderId="7" xfId="1" applyNumberFormat="1" applyFont="1" applyFill="1" applyBorder="1" applyAlignment="1" applyProtection="1">
      <alignment horizontal="left"/>
      <protection hidden="1"/>
    </xf>
    <xf numFmtId="189" fontId="1" fillId="38" borderId="37" xfId="1" applyNumberFormat="1" applyFont="1" applyFill="1" applyBorder="1" applyAlignment="1" applyProtection="1">
      <alignment horizontal="center" vertical="center"/>
      <protection hidden="1"/>
    </xf>
    <xf numFmtId="191" fontId="1" fillId="38" borderId="37" xfId="1" applyNumberFormat="1" applyFont="1" applyFill="1" applyBorder="1" applyProtection="1">
      <protection hidden="1"/>
    </xf>
    <xf numFmtId="191" fontId="1" fillId="38" borderId="31" xfId="1" applyNumberFormat="1" applyFont="1" applyFill="1" applyBorder="1" applyProtection="1">
      <protection hidden="1"/>
    </xf>
    <xf numFmtId="189" fontId="3" fillId="38" borderId="20" xfId="3" applyNumberFormat="1" applyFont="1" applyFill="1" applyBorder="1" applyAlignment="1" applyProtection="1">
      <alignment horizontal="center"/>
      <protection hidden="1"/>
    </xf>
    <xf numFmtId="191" fontId="1" fillId="38" borderId="43" xfId="1" applyNumberFormat="1" applyFont="1" applyFill="1" applyBorder="1" applyProtection="1">
      <protection hidden="1"/>
    </xf>
    <xf numFmtId="194" fontId="1" fillId="38" borderId="32" xfId="1" applyNumberFormat="1" applyFont="1" applyFill="1" applyBorder="1" applyProtection="1">
      <protection hidden="1"/>
    </xf>
    <xf numFmtId="194" fontId="1" fillId="38" borderId="53" xfId="1" applyNumberFormat="1" applyFont="1" applyFill="1" applyBorder="1" applyProtection="1">
      <protection hidden="1"/>
    </xf>
    <xf numFmtId="192" fontId="1" fillId="38" borderId="18" xfId="1" applyNumberFormat="1" applyFont="1" applyFill="1" applyBorder="1" applyAlignment="1" applyProtection="1">
      <alignment horizontal="center" vertical="center"/>
      <protection hidden="1"/>
    </xf>
    <xf numFmtId="194" fontId="1" fillId="38" borderId="84" xfId="1" applyNumberFormat="1" applyFont="1" applyFill="1" applyBorder="1" applyProtection="1">
      <protection hidden="1"/>
    </xf>
    <xf numFmtId="194" fontId="1" fillId="38" borderId="35" xfId="1" applyNumberFormat="1" applyFont="1" applyFill="1" applyBorder="1" applyProtection="1">
      <protection hidden="1"/>
    </xf>
    <xf numFmtId="189" fontId="1" fillId="38" borderId="27" xfId="7" applyNumberFormat="1" applyFont="1" applyFill="1" applyBorder="1" applyAlignment="1" applyProtection="1">
      <alignment horizontal="center"/>
      <protection hidden="1"/>
    </xf>
    <xf numFmtId="1" fontId="1" fillId="38" borderId="29" xfId="7" applyNumberFormat="1" applyFont="1" applyFill="1" applyBorder="1" applyAlignment="1" applyProtection="1">
      <alignment horizontal="center"/>
      <protection hidden="1"/>
    </xf>
    <xf numFmtId="192" fontId="1" fillId="38" borderId="4" xfId="1" applyNumberFormat="1" applyFont="1" applyFill="1" applyBorder="1" applyAlignment="1" applyProtection="1">
      <alignment horizontal="center" vertical="center"/>
      <protection hidden="1"/>
    </xf>
    <xf numFmtId="192" fontId="1" fillId="38" borderId="50" xfId="1" applyNumberFormat="1" applyFont="1" applyFill="1" applyBorder="1" applyAlignment="1" applyProtection="1">
      <alignment horizontal="center"/>
      <protection hidden="1"/>
    </xf>
    <xf numFmtId="190" fontId="1" fillId="38" borderId="50" xfId="1" applyNumberFormat="1" applyFont="1" applyFill="1" applyBorder="1" applyAlignment="1" applyProtection="1">
      <alignment horizontal="center"/>
      <protection hidden="1"/>
    </xf>
    <xf numFmtId="191" fontId="1" fillId="38" borderId="50" xfId="1" applyNumberFormat="1" applyFont="1" applyFill="1" applyBorder="1" applyAlignment="1" applyProtection="1">
      <protection hidden="1"/>
    </xf>
    <xf numFmtId="1" fontId="3" fillId="38" borderId="4" xfId="1" applyNumberFormat="1" applyFont="1" applyFill="1" applyBorder="1" applyAlignment="1" applyProtection="1">
      <alignment horizontal="center"/>
      <protection hidden="1"/>
    </xf>
    <xf numFmtId="3" fontId="3" fillId="38" borderId="4" xfId="1" applyNumberFormat="1" applyFont="1" applyFill="1" applyBorder="1" applyAlignment="1" applyProtection="1">
      <alignment horizontal="center"/>
      <protection hidden="1"/>
    </xf>
    <xf numFmtId="189" fontId="1" fillId="38" borderId="44" xfId="1" applyNumberFormat="1" applyFont="1" applyFill="1" applyBorder="1" applyAlignment="1" applyProtection="1">
      <alignment horizontal="center"/>
      <protection hidden="1"/>
    </xf>
    <xf numFmtId="189" fontId="1" fillId="38" borderId="25" xfId="1" applyNumberFormat="1" applyFont="1" applyFill="1" applyBorder="1" applyAlignment="1" applyProtection="1">
      <alignment horizontal="center"/>
      <protection hidden="1"/>
    </xf>
    <xf numFmtId="188" fontId="7" fillId="38" borderId="19" xfId="1" applyNumberFormat="1" applyFont="1" applyFill="1" applyBorder="1" applyAlignment="1" applyProtection="1">
      <alignment horizontal="left"/>
      <protection hidden="1"/>
    </xf>
    <xf numFmtId="194" fontId="1" fillId="38" borderId="55" xfId="1" applyNumberFormat="1" applyFont="1" applyFill="1" applyBorder="1" applyProtection="1">
      <protection hidden="1"/>
    </xf>
    <xf numFmtId="3" fontId="1" fillId="38" borderId="21" xfId="1" applyNumberFormat="1" applyFont="1" applyFill="1" applyBorder="1" applyAlignment="1" applyProtection="1">
      <alignment horizontal="center"/>
      <protection hidden="1"/>
    </xf>
    <xf numFmtId="168" fontId="1" fillId="38" borderId="4" xfId="1" applyNumberFormat="1" applyFont="1" applyFill="1" applyBorder="1" applyAlignment="1" applyProtection="1">
      <alignment horizontal="center"/>
      <protection hidden="1"/>
    </xf>
    <xf numFmtId="192" fontId="1" fillId="38" borderId="44" xfId="1" applyNumberFormat="1" applyFont="1" applyFill="1" applyBorder="1" applyAlignment="1" applyProtection="1">
      <alignment horizontal="center"/>
      <protection hidden="1"/>
    </xf>
    <xf numFmtId="37" fontId="3" fillId="38" borderId="4" xfId="3" applyNumberFormat="1" applyFont="1" applyFill="1" applyBorder="1" applyAlignment="1" applyProtection="1">
      <alignment horizontal="center"/>
      <protection hidden="1"/>
    </xf>
    <xf numFmtId="189" fontId="1" fillId="38" borderId="50" xfId="1" applyNumberFormat="1" applyFont="1" applyFill="1" applyBorder="1" applyAlignment="1" applyProtection="1">
      <alignment horizontal="center"/>
      <protection hidden="1"/>
    </xf>
    <xf numFmtId="193" fontId="1" fillId="38" borderId="25" xfId="1" applyNumberFormat="1" applyFont="1" applyFill="1" applyBorder="1" applyAlignment="1" applyProtection="1">
      <alignment horizontal="center"/>
      <protection hidden="1"/>
    </xf>
    <xf numFmtId="189" fontId="1" fillId="38" borderId="27" xfId="3" applyNumberFormat="1" applyFont="1" applyFill="1" applyBorder="1" applyAlignment="1" applyProtection="1">
      <alignment horizontal="center" vertical="center"/>
      <protection hidden="1"/>
    </xf>
    <xf numFmtId="4" fontId="1" fillId="38" borderId="4" xfId="2" applyNumberFormat="1" applyFont="1" applyFill="1" applyBorder="1" applyAlignment="1">
      <alignment horizontal="center"/>
      <protection hidden="1"/>
    </xf>
    <xf numFmtId="166" fontId="1" fillId="38" borderId="10" xfId="1" applyNumberFormat="1" applyFont="1" applyFill="1" applyBorder="1" applyProtection="1">
      <protection hidden="1"/>
    </xf>
    <xf numFmtId="166" fontId="5" fillId="38" borderId="6" xfId="1" applyNumberFormat="1" applyFont="1" applyFill="1" applyBorder="1" applyProtection="1">
      <protection hidden="1"/>
    </xf>
    <xf numFmtId="165" fontId="1" fillId="38" borderId="6" xfId="1" applyNumberFormat="1" applyFont="1" applyFill="1" applyBorder="1" applyAlignment="1" applyProtection="1">
      <alignment horizontal="right"/>
      <protection hidden="1"/>
    </xf>
    <xf numFmtId="165" fontId="3" fillId="38" borderId="6" xfId="1" applyNumberFormat="1" applyFont="1" applyFill="1" applyBorder="1" applyAlignment="1" applyProtection="1">
      <alignment horizontal="right"/>
      <protection hidden="1"/>
    </xf>
    <xf numFmtId="165" fontId="5" fillId="38" borderId="11" xfId="1" applyNumberFormat="1" applyFont="1" applyFill="1" applyBorder="1" applyAlignment="1" applyProtection="1">
      <alignment horizontal="right"/>
      <protection hidden="1"/>
    </xf>
    <xf numFmtId="165" fontId="1" fillId="38" borderId="22" xfId="1" applyNumberFormat="1" applyFont="1" applyFill="1" applyBorder="1" applyAlignment="1" applyProtection="1">
      <alignment horizontal="right"/>
      <protection hidden="1"/>
    </xf>
    <xf numFmtId="165" fontId="3" fillId="38" borderId="22" xfId="1" applyNumberFormat="1" applyFont="1" applyFill="1" applyBorder="1" applyAlignment="1" applyProtection="1">
      <alignment horizontal="right"/>
      <protection hidden="1"/>
    </xf>
    <xf numFmtId="166" fontId="1" fillId="38" borderId="26" xfId="1" applyNumberFormat="1" applyFont="1" applyFill="1" applyBorder="1" applyProtection="1">
      <protection hidden="1"/>
    </xf>
    <xf numFmtId="166" fontId="5" fillId="38" borderId="22" xfId="1" applyNumberFormat="1" applyFont="1" applyFill="1" applyBorder="1" applyProtection="1">
      <protection hidden="1"/>
    </xf>
    <xf numFmtId="166" fontId="1" fillId="38" borderId="23" xfId="1" applyNumberFormat="1" applyFont="1" applyFill="1" applyBorder="1" applyProtection="1">
      <protection hidden="1"/>
    </xf>
    <xf numFmtId="166" fontId="5" fillId="38" borderId="24" xfId="1" applyNumberFormat="1" applyFont="1" applyFill="1" applyBorder="1" applyProtection="1">
      <protection hidden="1"/>
    </xf>
    <xf numFmtId="165" fontId="1" fillId="38" borderId="24" xfId="1" applyNumberFormat="1" applyFont="1" applyFill="1" applyBorder="1" applyAlignment="1" applyProtection="1">
      <alignment horizontal="right"/>
      <protection hidden="1"/>
    </xf>
    <xf numFmtId="166" fontId="5" fillId="38" borderId="8" xfId="1" applyNumberFormat="1" applyFont="1" applyFill="1" applyBorder="1" applyProtection="1">
      <protection hidden="1"/>
    </xf>
    <xf numFmtId="166" fontId="7" fillId="38" borderId="25" xfId="1" applyNumberFormat="1" applyFont="1" applyFill="1" applyBorder="1" applyAlignment="1" applyProtection="1">
      <alignment horizontal="right"/>
      <protection hidden="1"/>
    </xf>
    <xf numFmtId="165" fontId="7" fillId="38" borderId="25" xfId="1" applyNumberFormat="1" applyFont="1" applyFill="1" applyBorder="1" applyProtection="1">
      <protection hidden="1"/>
    </xf>
    <xf numFmtId="165" fontId="7" fillId="38" borderId="59" xfId="1" applyNumberFormat="1" applyFont="1" applyFill="1" applyBorder="1" applyAlignment="1" applyProtection="1">
      <alignment horizontal="right"/>
      <protection hidden="1"/>
    </xf>
    <xf numFmtId="165" fontId="5" fillId="38" borderId="58" xfId="1" applyNumberFormat="1" applyFont="1" applyFill="1" applyBorder="1" applyAlignment="1" applyProtection="1">
      <alignment horizontal="right"/>
      <protection hidden="1"/>
    </xf>
    <xf numFmtId="166" fontId="1" fillId="38" borderId="27" xfId="1" applyNumberFormat="1" applyFont="1" applyFill="1" applyBorder="1" applyProtection="1">
      <protection hidden="1"/>
    </xf>
    <xf numFmtId="166" fontId="5" fillId="38" borderId="28" xfId="1" applyNumberFormat="1" applyFont="1" applyFill="1" applyBorder="1" applyAlignment="1" applyProtection="1">
      <alignment horizontal="right"/>
      <protection hidden="1"/>
    </xf>
    <xf numFmtId="165" fontId="5" fillId="38" borderId="29" xfId="1" applyNumberFormat="1" applyFont="1" applyFill="1" applyBorder="1" applyAlignment="1" applyProtection="1">
      <alignment horizontal="right"/>
      <protection hidden="1"/>
    </xf>
    <xf numFmtId="165" fontId="5" fillId="38" borderId="4" xfId="1" applyNumberFormat="1" applyFont="1" applyFill="1" applyBorder="1" applyAlignment="1" applyProtection="1">
      <alignment horizontal="right"/>
      <protection hidden="1"/>
    </xf>
    <xf numFmtId="0" fontId="5" fillId="0" borderId="38" xfId="0" applyFont="1" applyFill="1" applyBorder="1" applyAlignment="1" applyProtection="1">
      <alignment horizontal="center" wrapText="1"/>
      <protection hidden="1"/>
    </xf>
    <xf numFmtId="0" fontId="5" fillId="0" borderId="39" xfId="0" applyFont="1" applyFill="1" applyBorder="1" applyAlignment="1" applyProtection="1">
      <alignment horizontal="center" wrapText="1"/>
      <protection hidden="1"/>
    </xf>
    <xf numFmtId="0" fontId="5" fillId="0" borderId="40" xfId="0" applyFont="1" applyFill="1" applyBorder="1" applyAlignment="1" applyProtection="1">
      <alignment horizontal="center" wrapText="1"/>
      <protection hidden="1"/>
    </xf>
    <xf numFmtId="0" fontId="5" fillId="0" borderId="41" xfId="0" applyFont="1" applyFill="1" applyBorder="1" applyAlignment="1" applyProtection="1">
      <alignment horizontal="center" wrapText="1"/>
      <protection hidden="1"/>
    </xf>
    <xf numFmtId="0" fontId="5" fillId="0" borderId="57" xfId="0" applyFont="1" applyFill="1" applyBorder="1" applyAlignment="1" applyProtection="1">
      <alignment horizontal="center" wrapText="1"/>
      <protection hidden="1"/>
    </xf>
    <xf numFmtId="0" fontId="5" fillId="0" borderId="54" xfId="0" applyFont="1" applyFill="1" applyBorder="1" applyAlignment="1" applyProtection="1">
      <alignment horizontal="center" wrapText="1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42" xfId="0" applyFont="1" applyFill="1" applyBorder="1" applyAlignment="1" applyProtection="1">
      <alignment horizontal="center" wrapText="1"/>
      <protection hidden="1"/>
    </xf>
    <xf numFmtId="0" fontId="5" fillId="0" borderId="57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38" xfId="0" applyFont="1" applyBorder="1" applyAlignment="1" applyProtection="1">
      <alignment horizontal="center" wrapText="1"/>
      <protection hidden="1"/>
    </xf>
    <xf numFmtId="0" fontId="5" fillId="0" borderId="41" xfId="0" applyFont="1" applyBorder="1" applyAlignment="1" applyProtection="1">
      <alignment horizontal="center" wrapText="1"/>
      <protection hidden="1"/>
    </xf>
    <xf numFmtId="0" fontId="72" fillId="0" borderId="40" xfId="0" applyFont="1" applyFill="1" applyBorder="1" applyAlignment="1" applyProtection="1">
      <alignment horizontal="center" wrapText="1"/>
      <protection hidden="1"/>
    </xf>
    <xf numFmtId="0" fontId="72" fillId="18" borderId="40" xfId="0" applyFont="1" applyFill="1" applyBorder="1" applyAlignment="1" applyProtection="1">
      <alignment horizontal="center" vertical="center" wrapText="1"/>
      <protection hidden="1"/>
    </xf>
    <xf numFmtId="0" fontId="72" fillId="0" borderId="40" xfId="0" applyFont="1" applyBorder="1" applyAlignment="1" applyProtection="1">
      <alignment horizontal="center" wrapText="1"/>
      <protection hidden="1"/>
    </xf>
    <xf numFmtId="0" fontId="5" fillId="0" borderId="80" xfId="0" applyFont="1" applyFill="1" applyBorder="1" applyAlignment="1" applyProtection="1">
      <alignment horizontal="center" wrapText="1"/>
      <protection hidden="1"/>
    </xf>
    <xf numFmtId="0" fontId="5" fillId="0" borderId="38" xfId="0" applyFont="1" applyFill="1" applyBorder="1" applyAlignment="1" applyProtection="1">
      <alignment horizontal="center" vertical="center" wrapText="1"/>
      <protection hidden="1"/>
    </xf>
    <xf numFmtId="0" fontId="5" fillId="22" borderId="39" xfId="0" applyFont="1" applyFill="1" applyBorder="1" applyAlignment="1" applyProtection="1">
      <alignment horizontal="center" wrapText="1"/>
      <protection hidden="1"/>
    </xf>
    <xf numFmtId="0" fontId="5" fillId="0" borderId="42" xfId="0" applyFont="1" applyBorder="1" applyAlignment="1" applyProtection="1">
      <alignment horizontal="center" wrapText="1"/>
      <protection hidden="1"/>
    </xf>
    <xf numFmtId="0" fontId="5" fillId="0" borderId="40" xfId="0" applyFont="1" applyBorder="1" applyAlignment="1" applyProtection="1">
      <alignment horizontal="center" wrapText="1"/>
      <protection hidden="1"/>
    </xf>
    <xf numFmtId="0" fontId="5" fillId="22" borderId="38" xfId="0" applyFont="1" applyFill="1" applyBorder="1" applyAlignment="1" applyProtection="1">
      <alignment horizontal="center" wrapText="1"/>
      <protection hidden="1"/>
    </xf>
    <xf numFmtId="0" fontId="5" fillId="0" borderId="17" xfId="0" applyFont="1" applyFill="1" applyBorder="1" applyAlignment="1" applyProtection="1">
      <alignment horizontal="center" wrapText="1"/>
      <protection hidden="1"/>
    </xf>
    <xf numFmtId="0" fontId="5" fillId="0" borderId="16" xfId="0" applyFont="1" applyFill="1" applyBorder="1" applyAlignment="1" applyProtection="1">
      <alignment horizontal="center" wrapText="1"/>
      <protection hidden="1"/>
    </xf>
    <xf numFmtId="0" fontId="5" fillId="0" borderId="15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5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51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51" xfId="0" applyFont="1" applyFill="1" applyBorder="1" applyAlignment="1" applyProtection="1">
      <alignment horizontal="center" wrapText="1"/>
      <protection hidden="1"/>
    </xf>
    <xf numFmtId="0" fontId="5" fillId="0" borderId="16" xfId="0" applyFont="1" applyBorder="1" applyAlignment="1" applyProtection="1">
      <alignment horizontal="center" wrapText="1"/>
      <protection hidden="1"/>
    </xf>
    <xf numFmtId="166" fontId="5" fillId="38" borderId="34" xfId="1" applyNumberFormat="1" applyFont="1" applyFill="1" applyBorder="1" applyAlignment="1" applyProtection="1">
      <alignment horizontal="centerContinuous"/>
      <protection hidden="1"/>
    </xf>
    <xf numFmtId="166" fontId="5" fillId="38" borderId="35" xfId="1" applyNumberFormat="1" applyFont="1" applyFill="1" applyBorder="1" applyAlignment="1" applyProtection="1">
      <alignment horizontal="centerContinuous"/>
      <protection hidden="1"/>
    </xf>
    <xf numFmtId="194" fontId="0" fillId="19" borderId="24" xfId="7" applyNumberFormat="1" applyFont="1" applyFill="1" applyBorder="1" applyAlignment="1"/>
    <xf numFmtId="194" fontId="0" fillId="19" borderId="74" xfId="7" applyNumberFormat="1" applyFont="1" applyFill="1" applyBorder="1" applyAlignment="1"/>
    <xf numFmtId="0" fontId="0" fillId="32" borderId="34" xfId="0" applyFill="1" applyBorder="1"/>
    <xf numFmtId="0" fontId="36" fillId="0" borderId="22" xfId="0" applyFont="1" applyBorder="1" applyAlignment="1">
      <alignment horizontal="center" vertical="center" wrapText="1"/>
    </xf>
    <xf numFmtId="192" fontId="30" fillId="0" borderId="0" xfId="0" applyNumberFormat="1" applyFont="1" applyBorder="1"/>
    <xf numFmtId="0" fontId="30" fillId="0" borderId="0" xfId="0" applyFont="1" applyBorder="1" applyAlignment="1">
      <alignment vertical="center"/>
    </xf>
    <xf numFmtId="0" fontId="30" fillId="0" borderId="0" xfId="0" applyFont="1" applyBorder="1"/>
    <xf numFmtId="0" fontId="81" fillId="28" borderId="22" xfId="0" applyFont="1" applyFill="1" applyBorder="1" applyAlignment="1" applyProtection="1">
      <alignment horizontal="center"/>
      <protection hidden="1"/>
    </xf>
    <xf numFmtId="0" fontId="5" fillId="23" borderId="7" xfId="24" applyFont="1" applyFill="1" applyBorder="1" applyAlignment="1">
      <alignment horizontal="left"/>
      <protection locked="0"/>
    </xf>
    <xf numFmtId="0" fontId="0" fillId="0" borderId="43" xfId="0" applyFill="1" applyBorder="1" applyProtection="1">
      <protection hidden="1"/>
    </xf>
    <xf numFmtId="0" fontId="0" fillId="0" borderId="44" xfId="0" applyFill="1" applyBorder="1" applyProtection="1">
      <protection hidden="1"/>
    </xf>
    <xf numFmtId="0" fontId="82" fillId="0" borderId="0" xfId="0" applyFont="1" applyFill="1" applyBorder="1" applyAlignment="1" applyProtection="1">
      <alignment horizontal="center"/>
      <protection hidden="1"/>
    </xf>
    <xf numFmtId="168" fontId="0" fillId="0" borderId="0" xfId="0" applyNumberFormat="1"/>
    <xf numFmtId="2" fontId="29" fillId="0" borderId="0" xfId="0" applyNumberFormat="1" applyFont="1" applyAlignment="1">
      <alignment horizontal="center"/>
    </xf>
    <xf numFmtId="0" fontId="0" fillId="0" borderId="51" xfId="0" applyFill="1" applyBorder="1" applyProtection="1">
      <protection hidden="1"/>
    </xf>
    <xf numFmtId="169" fontId="32" fillId="0" borderId="51" xfId="3" applyNumberFormat="1" applyFont="1" applyFill="1" applyBorder="1" applyProtection="1">
      <protection hidden="1"/>
    </xf>
    <xf numFmtId="0" fontId="36" fillId="0" borderId="76" xfId="0" applyFont="1" applyFill="1" applyBorder="1" applyProtection="1">
      <protection hidden="1"/>
    </xf>
    <xf numFmtId="0" fontId="36" fillId="0" borderId="42" xfId="0" applyFont="1" applyFill="1" applyBorder="1" applyProtection="1">
      <protection hidden="1"/>
    </xf>
    <xf numFmtId="168" fontId="1" fillId="0" borderId="0" xfId="0" applyNumberFormat="1" applyFont="1" applyFill="1" applyBorder="1" applyProtection="1">
      <protection hidden="1"/>
    </xf>
    <xf numFmtId="173" fontId="0" fillId="0" borderId="0" xfId="0" applyNumberFormat="1"/>
    <xf numFmtId="0" fontId="7" fillId="21" borderId="0" xfId="29" applyFont="1" applyFill="1" applyBorder="1" applyAlignment="1">
      <alignment horizontal="centerContinuous"/>
      <protection locked="0"/>
    </xf>
    <xf numFmtId="10" fontId="6" fillId="0" borderId="74" xfId="23" applyNumberFormat="1" applyFont="1" applyFill="1" applyBorder="1" applyProtection="1">
      <protection hidden="1"/>
    </xf>
    <xf numFmtId="0" fontId="62" fillId="0" borderId="0" xfId="0" applyFont="1" applyBorder="1"/>
    <xf numFmtId="0" fontId="66" fillId="0" borderId="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3" fillId="0" borderId="1" xfId="0" applyFont="1" applyBorder="1"/>
    <xf numFmtId="0" fontId="63" fillId="0" borderId="70" xfId="0" applyFont="1" applyBorder="1"/>
    <xf numFmtId="0" fontId="63" fillId="0" borderId="37" xfId="0" applyFont="1" applyBorder="1"/>
    <xf numFmtId="0" fontId="66" fillId="0" borderId="5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6" fillId="0" borderId="5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196" fontId="60" fillId="0" borderId="0" xfId="7" applyNumberFormat="1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196" fontId="60" fillId="0" borderId="30" xfId="7" applyNumberFormat="1" applyFont="1" applyBorder="1" applyAlignment="1">
      <alignment horizontal="center"/>
    </xf>
    <xf numFmtId="196" fontId="60" fillId="0" borderId="31" xfId="7" applyNumberFormat="1" applyFont="1" applyBorder="1" applyAlignment="1">
      <alignment horizontal="center"/>
    </xf>
    <xf numFmtId="196" fontId="60" fillId="0" borderId="32" xfId="7" applyNumberFormat="1" applyFont="1" applyBorder="1" applyAlignment="1">
      <alignment horizontal="center"/>
    </xf>
    <xf numFmtId="2" fontId="29" fillId="25" borderId="69" xfId="0" applyNumberFormat="1" applyFont="1" applyFill="1" applyBorder="1" applyAlignment="1" applyProtection="1">
      <alignment horizontal="center"/>
      <protection locked="0"/>
    </xf>
    <xf numFmtId="2" fontId="29" fillId="25" borderId="66" xfId="0" applyNumberFormat="1" applyFont="1" applyFill="1" applyBorder="1" applyAlignment="1" applyProtection="1">
      <alignment horizontal="center"/>
      <protection locked="0"/>
    </xf>
    <xf numFmtId="2" fontId="29" fillId="25" borderId="59" xfId="0" applyNumberFormat="1" applyFont="1" applyFill="1" applyBorder="1" applyAlignment="1" applyProtection="1">
      <alignment horizontal="center"/>
      <protection locked="0"/>
    </xf>
    <xf numFmtId="2" fontId="29" fillId="25" borderId="10" xfId="0" applyNumberFormat="1" applyFont="1" applyFill="1" applyBorder="1" applyProtection="1">
      <protection locked="0"/>
    </xf>
    <xf numFmtId="2" fontId="29" fillId="25" borderId="6" xfId="0" applyNumberFormat="1" applyFont="1" applyFill="1" applyBorder="1" applyProtection="1">
      <protection locked="0"/>
    </xf>
    <xf numFmtId="2" fontId="29" fillId="25" borderId="11" xfId="0" applyNumberFormat="1" applyFont="1" applyFill="1" applyBorder="1" applyProtection="1">
      <protection locked="0"/>
    </xf>
    <xf numFmtId="2" fontId="29" fillId="25" borderId="23" xfId="0" applyNumberFormat="1" applyFont="1" applyFill="1" applyBorder="1" applyProtection="1">
      <protection locked="0"/>
    </xf>
    <xf numFmtId="2" fontId="29" fillId="25" borderId="24" xfId="0" applyNumberFormat="1" applyFont="1" applyFill="1" applyBorder="1" applyProtection="1">
      <protection locked="0"/>
    </xf>
    <xf numFmtId="2" fontId="29" fillId="25" borderId="74" xfId="0" applyNumberFormat="1" applyFont="1" applyFill="1" applyBorder="1" applyProtection="1">
      <protection locked="0"/>
    </xf>
    <xf numFmtId="0" fontId="66" fillId="0" borderId="48" xfId="0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 wrapText="1"/>
    </xf>
    <xf numFmtId="0" fontId="66" fillId="0" borderId="49" xfId="0" applyFont="1" applyBorder="1" applyAlignment="1">
      <alignment horizontal="left" vertical="center" wrapText="1"/>
    </xf>
    <xf numFmtId="0" fontId="5" fillId="0" borderId="48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8" fillId="17" borderId="20" xfId="16" applyFont="1" applyFill="1" applyBorder="1" applyAlignment="1">
      <alignment horizontal="center"/>
    </xf>
    <xf numFmtId="0" fontId="8" fillId="17" borderId="3" xfId="16" applyFont="1" applyFill="1" applyBorder="1" applyAlignment="1">
      <alignment horizontal="center"/>
    </xf>
    <xf numFmtId="0" fontId="8" fillId="17" borderId="21" xfId="16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center" wrapText="1"/>
      <protection hidden="1"/>
    </xf>
    <xf numFmtId="0" fontId="5" fillId="0" borderId="15" xfId="0" applyFont="1" applyFill="1" applyBorder="1" applyAlignment="1" applyProtection="1">
      <alignment horizontal="center" wrapText="1"/>
      <protection hidden="1"/>
    </xf>
    <xf numFmtId="0" fontId="36" fillId="0" borderId="34" xfId="0" applyFont="1" applyBorder="1" applyAlignment="1">
      <alignment horizontal="center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wrapText="1"/>
      <protection hidden="1"/>
    </xf>
    <xf numFmtId="0" fontId="1" fillId="0" borderId="70" xfId="0" applyFont="1" applyBorder="1" applyAlignment="1" applyProtection="1">
      <alignment horizontal="left" wrapText="1"/>
      <protection hidden="1"/>
    </xf>
    <xf numFmtId="0" fontId="1" fillId="0" borderId="71" xfId="0" applyFont="1" applyBorder="1" applyAlignment="1" applyProtection="1">
      <alignment horizontal="left" wrapText="1"/>
      <protection hidden="1"/>
    </xf>
    <xf numFmtId="0" fontId="79" fillId="0" borderId="0" xfId="0" applyFont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79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center" wrapText="1"/>
      <protection hidden="1"/>
    </xf>
    <xf numFmtId="0" fontId="8" fillId="0" borderId="31" xfId="0" applyFont="1" applyFill="1" applyBorder="1" applyAlignment="1" applyProtection="1">
      <alignment horizontal="center" wrapText="1"/>
      <protection hidden="1"/>
    </xf>
    <xf numFmtId="0" fontId="8" fillId="0" borderId="32" xfId="0" applyFont="1" applyFill="1" applyBorder="1" applyAlignment="1" applyProtection="1">
      <alignment horizontal="center" wrapText="1"/>
      <protection hidden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14" fillId="14" borderId="21" xfId="14" applyFont="1" applyFill="1" applyBorder="1" applyAlignment="1" applyProtection="1">
      <alignment horizontal="left" vertical="top"/>
      <protection hidden="1"/>
    </xf>
    <xf numFmtId="0" fontId="55" fillId="0" borderId="68" xfId="17" applyFont="1" applyFill="1" applyBorder="1" applyAlignment="1" applyProtection="1">
      <alignment horizontal="center" wrapText="1"/>
      <protection hidden="1"/>
    </xf>
    <xf numFmtId="0" fontId="55" fillId="0" borderId="60" xfId="17" applyFont="1" applyFill="1" applyBorder="1" applyAlignment="1" applyProtection="1">
      <alignment horizontal="center" wrapText="1"/>
      <protection hidden="1"/>
    </xf>
    <xf numFmtId="212" fontId="0" fillId="0" borderId="42" xfId="0" applyNumberFormat="1" applyBorder="1" applyAlignment="1">
      <alignment horizontal="left"/>
    </xf>
    <xf numFmtId="212" fontId="0" fillId="0" borderId="51" xfId="0" applyNumberFormat="1" applyBorder="1" applyAlignment="1">
      <alignment horizontal="left"/>
    </xf>
    <xf numFmtId="211" fontId="0" fillId="0" borderId="42" xfId="0" applyNumberFormat="1" applyBorder="1" applyAlignment="1">
      <alignment horizontal="left"/>
    </xf>
    <xf numFmtId="211" fontId="0" fillId="0" borderId="51" xfId="0" applyNumberFormat="1" applyBorder="1" applyAlignment="1">
      <alignment horizontal="left"/>
    </xf>
    <xf numFmtId="215" fontId="0" fillId="0" borderId="43" xfId="0" applyNumberFormat="1" applyBorder="1" applyAlignment="1">
      <alignment horizontal="left"/>
    </xf>
    <xf numFmtId="215" fontId="0" fillId="0" borderId="44" xfId="0" applyNumberFormat="1" applyBorder="1" applyAlignment="1">
      <alignment horizontal="left"/>
    </xf>
    <xf numFmtId="203" fontId="0" fillId="0" borderId="42" xfId="0" applyNumberFormat="1" applyBorder="1" applyAlignment="1">
      <alignment horizontal="left"/>
    </xf>
    <xf numFmtId="203" fontId="0" fillId="0" borderId="51" xfId="0" applyNumberFormat="1" applyBorder="1" applyAlignment="1">
      <alignment horizontal="left"/>
    </xf>
    <xf numFmtId="206" fontId="0" fillId="0" borderId="42" xfId="0" applyNumberFormat="1" applyBorder="1" applyAlignment="1">
      <alignment horizontal="left"/>
    </xf>
    <xf numFmtId="206" fontId="0" fillId="0" borderId="51" xfId="0" applyNumberFormat="1" applyBorder="1" applyAlignment="1">
      <alignment horizontal="left"/>
    </xf>
    <xf numFmtId="209" fontId="0" fillId="0" borderId="42" xfId="0" applyNumberFormat="1" applyBorder="1" applyAlignment="1">
      <alignment horizontal="left"/>
    </xf>
    <xf numFmtId="209" fontId="0" fillId="0" borderId="51" xfId="0" applyNumberFormat="1" applyBorder="1" applyAlignment="1">
      <alignment horizontal="left"/>
    </xf>
    <xf numFmtId="210" fontId="0" fillId="0" borderId="42" xfId="0" applyNumberFormat="1" applyBorder="1" applyAlignment="1">
      <alignment horizontal="left"/>
    </xf>
    <xf numFmtId="210" fontId="0" fillId="0" borderId="51" xfId="0" applyNumberFormat="1" applyBorder="1" applyAlignment="1">
      <alignment horizontal="left"/>
    </xf>
    <xf numFmtId="0" fontId="55" fillId="0" borderId="42" xfId="17" applyFont="1" applyFill="1" applyBorder="1" applyAlignment="1" applyProtection="1">
      <alignment horizontal="center"/>
      <protection hidden="1"/>
    </xf>
    <xf numFmtId="0" fontId="55" fillId="0" borderId="51" xfId="17" applyFont="1" applyFill="1" applyBorder="1" applyAlignment="1" applyProtection="1">
      <alignment horizontal="center"/>
      <protection hidden="1"/>
    </xf>
    <xf numFmtId="0" fontId="55" fillId="0" borderId="76" xfId="17" applyFont="1" applyFill="1" applyBorder="1" applyAlignment="1" applyProtection="1">
      <alignment horizontal="center"/>
      <protection hidden="1"/>
    </xf>
    <xf numFmtId="0" fontId="55" fillId="0" borderId="75" xfId="17" applyFont="1" applyFill="1" applyBorder="1" applyAlignment="1" applyProtection="1">
      <alignment horizontal="center"/>
      <protection hidden="1"/>
    </xf>
    <xf numFmtId="0" fontId="5" fillId="16" borderId="20" xfId="0" applyFont="1" applyFill="1" applyBorder="1" applyAlignment="1" applyProtection="1">
      <alignment horizontal="center" vertical="center"/>
      <protection hidden="1"/>
    </xf>
    <xf numFmtId="0" fontId="5" fillId="16" borderId="3" xfId="0" applyFont="1" applyFill="1" applyBorder="1" applyAlignment="1" applyProtection="1">
      <alignment horizontal="center" vertical="center"/>
      <protection hidden="1"/>
    </xf>
    <xf numFmtId="0" fontId="5" fillId="16" borderId="21" xfId="0" applyFont="1" applyFill="1" applyBorder="1" applyAlignment="1" applyProtection="1">
      <alignment horizontal="center" vertical="center"/>
      <protection hidden="1"/>
    </xf>
    <xf numFmtId="208" fontId="0" fillId="0" borderId="17" xfId="0" applyNumberFormat="1" applyBorder="1" applyAlignment="1">
      <alignment horizontal="left"/>
    </xf>
    <xf numFmtId="208" fontId="0" fillId="0" borderId="51" xfId="0" applyNumberFormat="1" applyBorder="1" applyAlignment="1">
      <alignment horizontal="left"/>
    </xf>
    <xf numFmtId="213" fontId="0" fillId="0" borderId="42" xfId="0" applyNumberFormat="1" applyBorder="1" applyAlignment="1">
      <alignment horizontal="left"/>
    </xf>
    <xf numFmtId="213" fontId="0" fillId="0" borderId="51" xfId="0" applyNumberFormat="1" applyBorder="1" applyAlignment="1">
      <alignment horizontal="left"/>
    </xf>
    <xf numFmtId="214" fontId="0" fillId="0" borderId="42" xfId="0" applyNumberFormat="1" applyBorder="1" applyAlignment="1">
      <alignment horizontal="left"/>
    </xf>
    <xf numFmtId="214" fontId="0" fillId="0" borderId="51" xfId="0" applyNumberFormat="1" applyBorder="1" applyAlignment="1">
      <alignment horizontal="left"/>
    </xf>
    <xf numFmtId="207" fontId="0" fillId="0" borderId="17" xfId="0" applyNumberFormat="1" applyBorder="1" applyAlignment="1">
      <alignment horizontal="left"/>
    </xf>
    <xf numFmtId="207" fontId="0" fillId="0" borderId="51" xfId="0" applyNumberFormat="1" applyBorder="1" applyAlignment="1">
      <alignment horizontal="left"/>
    </xf>
    <xf numFmtId="0" fontId="14" fillId="21" borderId="0" xfId="23" applyNumberFormat="1" applyFont="1" applyFill="1" applyBorder="1" applyAlignment="1" applyProtection="1">
      <alignment horizontal="left"/>
      <protection locked="0"/>
    </xf>
    <xf numFmtId="197" fontId="14" fillId="21" borderId="0" xfId="23" applyNumberFormat="1" applyFont="1" applyFill="1" applyBorder="1" applyAlignment="1" applyProtection="1">
      <alignment horizontal="left"/>
      <protection locked="0"/>
    </xf>
    <xf numFmtId="0" fontId="42" fillId="0" borderId="0" xfId="0" applyFont="1" applyAlignment="1">
      <alignment horizontal="left" vertical="center"/>
    </xf>
    <xf numFmtId="0" fontId="5" fillId="0" borderId="2" xfId="0" applyFont="1" applyFill="1" applyBorder="1" applyAlignment="1" applyProtection="1">
      <alignment horizontal="center" wrapText="1"/>
      <protection hidden="1"/>
    </xf>
    <xf numFmtId="0" fontId="14" fillId="0" borderId="0" xfId="22" applyFont="1" applyFill="1" applyBorder="1"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5" fillId="0" borderId="38" xfId="0" applyFont="1" applyFill="1" applyBorder="1" applyAlignment="1" applyProtection="1">
      <alignment horizontal="center" wrapText="1"/>
      <protection hidden="1"/>
    </xf>
    <xf numFmtId="0" fontId="5" fillId="0" borderId="19" xfId="0" applyFont="1" applyFill="1" applyBorder="1" applyAlignment="1" applyProtection="1">
      <alignment horizontal="center" wrapText="1"/>
      <protection hidden="1"/>
    </xf>
    <xf numFmtId="0" fontId="17" fillId="17" borderId="20" xfId="16" applyFont="1" applyFill="1" applyBorder="1" applyAlignment="1">
      <alignment horizontal="center"/>
    </xf>
    <xf numFmtId="0" fontId="17" fillId="17" borderId="3" xfId="16" applyFont="1" applyFill="1" applyBorder="1" applyAlignment="1">
      <alignment horizontal="center"/>
    </xf>
    <xf numFmtId="0" fontId="17" fillId="17" borderId="21" xfId="16" applyFont="1" applyFill="1" applyBorder="1" applyAlignment="1">
      <alignment horizontal="center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68" fillId="0" borderId="0" xfId="0" applyFont="1" applyBorder="1" applyAlignment="1">
      <alignment horizontal="center"/>
    </xf>
    <xf numFmtId="0" fontId="57" fillId="0" borderId="68" xfId="0" applyFont="1" applyBorder="1" applyAlignment="1">
      <alignment horizontal="left"/>
    </xf>
    <xf numFmtId="0" fontId="57" fillId="0" borderId="60" xfId="0" applyFont="1" applyBorder="1" applyAlignment="1">
      <alignment horizontal="left"/>
    </xf>
    <xf numFmtId="0" fontId="8" fillId="4" borderId="48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49" xfId="0" applyFont="1" applyFill="1" applyBorder="1" applyAlignment="1" applyProtection="1">
      <alignment horizontal="center" vertical="center"/>
      <protection hidden="1"/>
    </xf>
    <xf numFmtId="0" fontId="8" fillId="4" borderId="33" xfId="0" applyFont="1" applyFill="1" applyBorder="1" applyAlignment="1" applyProtection="1">
      <alignment horizontal="center" vertical="center"/>
      <protection hidden="1"/>
    </xf>
    <xf numFmtId="0" fontId="8" fillId="4" borderId="34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36" fillId="0" borderId="76" xfId="0" applyFont="1" applyBorder="1" applyAlignment="1">
      <alignment horizontal="left"/>
    </xf>
    <xf numFmtId="0" fontId="36" fillId="0" borderId="75" xfId="0" applyFont="1" applyBorder="1" applyAlignment="1">
      <alignment horizontal="left"/>
    </xf>
    <xf numFmtId="0" fontId="0" fillId="0" borderId="17" xfId="0" applyBorder="1" applyAlignment="1"/>
    <xf numFmtId="0" fontId="0" fillId="0" borderId="51" xfId="0" applyBorder="1" applyAlignment="1"/>
    <xf numFmtId="205" fontId="0" fillId="0" borderId="42" xfId="0" applyNumberFormat="1" applyBorder="1" applyAlignment="1">
      <alignment horizontal="left"/>
    </xf>
    <xf numFmtId="205" fontId="0" fillId="0" borderId="51" xfId="0" applyNumberFormat="1" applyBorder="1" applyAlignment="1">
      <alignment horizontal="left"/>
    </xf>
    <xf numFmtId="204" fontId="0" fillId="0" borderId="42" xfId="0" applyNumberFormat="1" applyBorder="1" applyAlignment="1">
      <alignment horizontal="left"/>
    </xf>
    <xf numFmtId="204" fontId="0" fillId="0" borderId="51" xfId="0" applyNumberFormat="1" applyBorder="1" applyAlignment="1">
      <alignment horizontal="left"/>
    </xf>
    <xf numFmtId="197" fontId="14" fillId="0" borderId="0" xfId="0" applyNumberFormat="1" applyFont="1" applyFill="1" applyBorder="1" applyAlignment="1" applyProtection="1">
      <alignment horizontal="left" vertical="center"/>
      <protection hidden="1"/>
    </xf>
    <xf numFmtId="0" fontId="9" fillId="27" borderId="1" xfId="2" applyNumberFormat="1" applyFont="1" applyFill="1" applyBorder="1" applyAlignment="1">
      <alignment horizontal="left"/>
      <protection hidden="1"/>
    </xf>
    <xf numFmtId="0" fontId="9" fillId="27" borderId="60" xfId="2" applyNumberFormat="1" applyFont="1" applyFill="1" applyBorder="1" applyAlignment="1">
      <alignment horizontal="left"/>
      <protection hidden="1"/>
    </xf>
    <xf numFmtId="0" fontId="1" fillId="0" borderId="68" xfId="17" applyFont="1" applyFill="1" applyBorder="1" applyAlignment="1">
      <alignment horizontal="center"/>
    </xf>
    <xf numFmtId="0" fontId="1" fillId="0" borderId="70" xfId="17" applyFont="1" applyFill="1" applyBorder="1" applyAlignment="1">
      <alignment horizontal="center"/>
    </xf>
    <xf numFmtId="0" fontId="1" fillId="0" borderId="60" xfId="17" applyFont="1" applyFill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54" fillId="0" borderId="59" xfId="0" applyFont="1" applyBorder="1" applyAlignment="1">
      <alignment horizontal="center"/>
    </xf>
    <xf numFmtId="197" fontId="54" fillId="0" borderId="0" xfId="0" applyNumberFormat="1" applyFont="1" applyAlignment="1">
      <alignment horizontal="left"/>
    </xf>
    <xf numFmtId="3" fontId="1" fillId="27" borderId="45" xfId="2" applyNumberFormat="1" applyFont="1" applyFill="1" applyBorder="1" applyAlignment="1">
      <alignment horizontal="left"/>
      <protection hidden="1"/>
    </xf>
    <xf numFmtId="3" fontId="1" fillId="27" borderId="65" xfId="2" applyNumberFormat="1" applyFont="1" applyFill="1" applyBorder="1" applyAlignment="1">
      <alignment horizontal="left"/>
      <protection hidden="1"/>
    </xf>
    <xf numFmtId="0" fontId="59" fillId="0" borderId="0" xfId="0" applyFont="1" applyAlignment="1">
      <alignment horizontal="center"/>
    </xf>
    <xf numFmtId="44" fontId="54" fillId="0" borderId="66" xfId="7" applyFont="1" applyBorder="1" applyAlignment="1">
      <alignment horizontal="center" wrapText="1"/>
    </xf>
    <xf numFmtId="44" fontId="54" fillId="0" borderId="6" xfId="7" applyFont="1" applyBorder="1" applyAlignment="1">
      <alignment horizontal="center" wrapText="1"/>
    </xf>
    <xf numFmtId="3" fontId="1" fillId="27" borderId="1" xfId="2" applyNumberFormat="1" applyFont="1" applyFill="1" applyBorder="1" applyAlignment="1">
      <alignment horizontal="left" vertical="center"/>
      <protection hidden="1"/>
    </xf>
    <xf numFmtId="3" fontId="1" fillId="27" borderId="60" xfId="2" applyNumberFormat="1" applyFont="1" applyFill="1" applyBorder="1" applyAlignment="1">
      <alignment horizontal="left" vertical="center"/>
      <protection hidden="1"/>
    </xf>
    <xf numFmtId="3" fontId="9" fillId="29" borderId="1" xfId="1" applyNumberFormat="1" applyFont="1" applyFill="1" applyBorder="1" applyAlignment="1" applyProtection="1">
      <alignment horizontal="left" vertical="center"/>
      <protection hidden="1"/>
    </xf>
    <xf numFmtId="3" fontId="9" fillId="29" borderId="60" xfId="1" applyNumberFormat="1" applyFont="1" applyFill="1" applyBorder="1" applyAlignment="1" applyProtection="1">
      <alignment horizontal="left" vertical="center"/>
      <protection hidden="1"/>
    </xf>
    <xf numFmtId="3" fontId="9" fillId="27" borderId="1" xfId="2" applyNumberFormat="1" applyFont="1" applyFill="1" applyBorder="1" applyAlignment="1">
      <alignment horizontal="left" vertical="center"/>
      <protection hidden="1"/>
    </xf>
    <xf numFmtId="3" fontId="9" fillId="27" borderId="60" xfId="2" applyNumberFormat="1" applyFont="1" applyFill="1" applyBorder="1" applyAlignment="1">
      <alignment horizontal="left" vertical="center"/>
      <protection hidden="1"/>
    </xf>
    <xf numFmtId="3" fontId="1" fillId="27" borderId="30" xfId="2" applyNumberFormat="1" applyFont="1" applyFill="1" applyBorder="1" applyAlignment="1">
      <alignment horizontal="left"/>
      <protection hidden="1"/>
    </xf>
    <xf numFmtId="3" fontId="1" fillId="27" borderId="64" xfId="2" applyNumberFormat="1" applyFont="1" applyFill="1" applyBorder="1" applyAlignment="1">
      <alignment horizontal="left"/>
      <protection hidden="1"/>
    </xf>
    <xf numFmtId="3" fontId="1" fillId="27" borderId="1" xfId="2" applyNumberFormat="1" applyFont="1" applyFill="1" applyBorder="1" applyAlignment="1">
      <alignment horizontal="left"/>
      <protection hidden="1"/>
    </xf>
    <xf numFmtId="3" fontId="1" fillId="27" borderId="60" xfId="2" applyNumberFormat="1" applyFont="1" applyFill="1" applyBorder="1" applyAlignment="1">
      <alignment horizontal="left"/>
      <protection hidden="1"/>
    </xf>
  </cellXfs>
  <cellStyles count="46">
    <cellStyle name="Calculation" xfId="1" builtinId="22"/>
    <cellStyle name="Calculation 2" xfId="2"/>
    <cellStyle name="Comma" xfId="3" builtinId="3"/>
    <cellStyle name="Comma 2" xfId="4"/>
    <cellStyle name="Confidence" xfId="5"/>
    <cellStyle name="Constant" xfId="6"/>
    <cellStyle name="Currency" xfId="7" builtinId="4"/>
    <cellStyle name="Currency 2" xfId="8"/>
    <cellStyle name="Date" xfId="9"/>
    <cellStyle name="Entry" xfId="10"/>
    <cellStyle name="FASHyperlink" xfId="11"/>
    <cellStyle name="FASSum" xfId="12"/>
    <cellStyle name="Fixed" xfId="13"/>
    <cellStyle name="Heading 1" xfId="14" builtinId="16"/>
    <cellStyle name="Heading 1 2" xfId="15"/>
    <cellStyle name="Heading 2" xfId="16" builtinId="17"/>
    <cellStyle name="Heading 2 2" xfId="17"/>
    <cellStyle name="LaborBaseColor" xfId="18"/>
    <cellStyle name="Normal" xfId="0" builtinId="0"/>
    <cellStyle name="Normal 2" xfId="19"/>
    <cellStyle name="Normal8LB" xfId="42"/>
    <cellStyle name="NormalBB" xfId="44"/>
    <cellStyle name="NormalBBLB" xfId="43"/>
    <cellStyle name="NormalBorderedCentered" xfId="38"/>
    <cellStyle name="NormalBorderedCenteredComma" xfId="36"/>
    <cellStyle name="NormalBorderedCenteredCommaRB" xfId="37"/>
    <cellStyle name="NormalBorderedCenteredRB" xfId="39"/>
    <cellStyle name="NormalBorderedWrapedLB" xfId="35"/>
    <cellStyle name="NormalLB" xfId="40"/>
    <cellStyle name="NormalRB" xfId="41"/>
    <cellStyle name="NormalRight8BBRB" xfId="45"/>
    <cellStyle name="Other" xfId="20"/>
    <cellStyle name="Override" xfId="21"/>
    <cellStyle name="Page Header" xfId="22"/>
    <cellStyle name="Percent" xfId="23" builtinId="5"/>
    <cellStyle name="PullDownList" xfId="24"/>
    <cellStyle name="StandardizedData" xfId="25"/>
    <cellStyle name="StandardizedPullDown" xfId="26"/>
    <cellStyle name="StandardPerc2" xfId="30"/>
    <cellStyle name="TableHeadingBoldBB" xfId="33"/>
    <cellStyle name="TableHeadingBoldBBLB" xfId="32"/>
    <cellStyle name="TableHeadingBoldBBRB" xfId="34"/>
    <cellStyle name="TableSubTitleLBRBTB" xfId="31"/>
    <cellStyle name="Total 2" xfId="27"/>
    <cellStyle name="User Normal" xfId="28"/>
    <cellStyle name="UserInput" xfId="29"/>
  </cellStyles>
  <dxfs count="110"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</dxfs>
  <tableStyles count="0" defaultTableStyle="TableStyleMedium2" defaultPivotStyle="PivotStyleLight16"/>
  <colors>
    <mruColors>
      <color rgb="FFFFFFFF"/>
      <color rgb="FFB1F024"/>
      <color rgb="FFFFFF29"/>
      <color rgb="FF0000FF"/>
      <color rgb="FF00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707571</xdr:colOff>
      <xdr:row>12</xdr:row>
      <xdr:rowOff>108857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18573750" y="2163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990600</xdr:colOff>
          <xdr:row>0</xdr:row>
          <xdr:rowOff>200025</xdr:rowOff>
        </xdr:from>
        <xdr:to>
          <xdr:col>8</xdr:col>
          <xdr:colOff>638175</xdr:colOff>
          <xdr:row>0</xdr:row>
          <xdr:rowOff>314325</xdr:rowOff>
        </xdr:to>
        <xdr:sp macro="" textlink="">
          <xdr:nvSpPr>
            <xdr:cNvPr id="1143" name="TextBox1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419100</xdr:colOff>
          <xdr:row>218</xdr:row>
          <xdr:rowOff>19050</xdr:rowOff>
        </xdr:from>
        <xdr:to>
          <xdr:col>3</xdr:col>
          <xdr:colOff>809625</xdr:colOff>
          <xdr:row>218</xdr:row>
          <xdr:rowOff>19050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B1:I55"/>
  <sheetViews>
    <sheetView tabSelected="1" zoomScale="87" zoomScaleNormal="87" workbookViewId="0">
      <selection activeCell="C2" sqref="C2"/>
    </sheetView>
  </sheetViews>
  <sheetFormatPr defaultRowHeight="15"/>
  <cols>
    <col min="1" max="1" width="5.42578125" customWidth="1"/>
    <col min="2" max="8" width="18.7109375" customWidth="1"/>
    <col min="9" max="9" width="15.7109375" customWidth="1"/>
  </cols>
  <sheetData>
    <row r="1" spans="2:9" ht="19.5" thickBot="1">
      <c r="B1" s="1079"/>
      <c r="C1" s="1079"/>
      <c r="D1" s="1079"/>
      <c r="E1" s="1079"/>
      <c r="F1" s="1079"/>
      <c r="G1" s="1079"/>
      <c r="H1" s="1079"/>
    </row>
    <row r="2" spans="2:9">
      <c r="B2" s="609" t="s">
        <v>516</v>
      </c>
      <c r="C2" s="629"/>
      <c r="D2" s="628"/>
      <c r="E2" s="628"/>
      <c r="F2" s="628"/>
      <c r="G2" s="631"/>
      <c r="H2" s="631"/>
    </row>
    <row r="3" spans="2:9">
      <c r="B3" s="608" t="s">
        <v>517</v>
      </c>
      <c r="C3" s="629"/>
      <c r="D3" s="629"/>
      <c r="E3" s="629"/>
      <c r="F3" s="629"/>
      <c r="G3" s="632"/>
      <c r="H3" s="632"/>
    </row>
    <row r="4" spans="2:9">
      <c r="B4" s="608" t="s">
        <v>518</v>
      </c>
      <c r="C4" s="629"/>
      <c r="D4" s="629"/>
      <c r="E4" s="629"/>
      <c r="F4" s="629"/>
      <c r="G4" s="632"/>
      <c r="H4" s="632"/>
    </row>
    <row r="5" spans="2:9">
      <c r="B5" s="608" t="s">
        <v>521</v>
      </c>
      <c r="C5" s="629"/>
      <c r="D5" s="629"/>
      <c r="E5" s="629"/>
      <c r="F5" s="629"/>
      <c r="G5" s="632"/>
      <c r="H5" s="632"/>
    </row>
    <row r="6" spans="2:9">
      <c r="B6" s="608" t="s">
        <v>522</v>
      </c>
      <c r="C6" s="876">
        <f t="shared" ref="C6" ca="1" si="0">TODAY()</f>
        <v>43444</v>
      </c>
      <c r="D6" s="648"/>
      <c r="E6" s="649"/>
      <c r="F6" s="649"/>
      <c r="G6" s="649"/>
      <c r="H6" s="650"/>
    </row>
    <row r="7" spans="2:9">
      <c r="B7" s="1069"/>
      <c r="C7" s="1070"/>
      <c r="D7" s="1071"/>
      <c r="E7" s="263"/>
      <c r="F7" s="97"/>
      <c r="G7" s="263"/>
      <c r="H7" s="647"/>
    </row>
    <row r="8" spans="2:9">
      <c r="B8" s="608" t="s">
        <v>519</v>
      </c>
      <c r="C8" s="612"/>
      <c r="D8" s="612"/>
      <c r="E8" s="612"/>
      <c r="F8" s="612"/>
      <c r="G8" s="612"/>
      <c r="H8" s="613"/>
    </row>
    <row r="9" spans="2:9">
      <c r="B9" s="608"/>
      <c r="C9" s="610"/>
      <c r="D9" s="610"/>
      <c r="E9" s="610"/>
      <c r="F9" s="610"/>
      <c r="G9" s="610"/>
      <c r="H9" s="611"/>
    </row>
    <row r="10" spans="2:9">
      <c r="B10" s="608" t="s">
        <v>523</v>
      </c>
      <c r="C10" s="614"/>
      <c r="D10" s="614"/>
      <c r="E10" s="614"/>
      <c r="F10" s="614"/>
      <c r="G10" s="614"/>
      <c r="H10" s="615"/>
    </row>
    <row r="11" spans="2:9">
      <c r="B11" s="608"/>
      <c r="C11" s="610"/>
      <c r="D11" s="610"/>
      <c r="E11" s="610"/>
      <c r="F11" s="610"/>
      <c r="G11" s="610"/>
      <c r="H11" s="611"/>
    </row>
    <row r="12" spans="2:9">
      <c r="B12" s="608" t="s">
        <v>550</v>
      </c>
      <c r="C12" s="616"/>
      <c r="D12" s="616"/>
      <c r="E12" s="616"/>
      <c r="F12" s="616"/>
      <c r="G12" s="617"/>
      <c r="H12" s="617"/>
      <c r="I12" s="635"/>
    </row>
    <row r="13" spans="2:9">
      <c r="B13" s="608" t="s">
        <v>551</v>
      </c>
      <c r="C13" s="618"/>
      <c r="D13" s="618"/>
      <c r="E13" s="618"/>
      <c r="F13" s="618"/>
      <c r="G13" s="619"/>
      <c r="H13" s="619"/>
    </row>
    <row r="14" spans="2:9">
      <c r="B14" s="608"/>
      <c r="C14" s="610"/>
      <c r="D14" s="610"/>
      <c r="E14" s="610"/>
      <c r="F14" s="610"/>
      <c r="G14" s="611"/>
      <c r="H14" s="611"/>
    </row>
    <row r="15" spans="2:9" ht="15" customHeight="1">
      <c r="B15" s="626" t="s">
        <v>525</v>
      </c>
      <c r="C15" s="620"/>
      <c r="D15" s="620"/>
      <c r="E15" s="620"/>
      <c r="F15" s="620"/>
      <c r="G15" s="621"/>
      <c r="H15" s="621"/>
    </row>
    <row r="16" spans="2:9" ht="15" customHeight="1" thickBot="1">
      <c r="B16" s="627" t="s">
        <v>524</v>
      </c>
      <c r="C16" s="622"/>
      <c r="D16" s="622"/>
      <c r="E16" s="622"/>
      <c r="F16" s="622"/>
      <c r="G16" s="623"/>
      <c r="H16" s="623"/>
    </row>
    <row r="17" spans="2:9" ht="15.75" thickBot="1">
      <c r="B17" s="90"/>
      <c r="C17" s="90"/>
      <c r="I17" s="624"/>
    </row>
    <row r="18" spans="2:9">
      <c r="B18" s="637" t="s">
        <v>2</v>
      </c>
      <c r="C18" s="651" t="str">
        <f>IF(C16=0,"",'E Cell Calculator'!C361)</f>
        <v/>
      </c>
      <c r="D18" s="651" t="str">
        <f>IF(D16=0,"",'E Cell Calculator'!C381)</f>
        <v/>
      </c>
      <c r="E18" s="651" t="str">
        <f>IF(E16=0,"",'E Cell Calculator'!C401)</f>
        <v/>
      </c>
      <c r="F18" s="651" t="str">
        <f>IF(F16=0,"",'E Cell Calculator'!C422)</f>
        <v/>
      </c>
      <c r="G18" s="651" t="str">
        <f>IF(G16=0,"",'E Cell Calculator'!C442)</f>
        <v/>
      </c>
      <c r="H18" s="652" t="str">
        <f>IF(H16=0,"",'E Cell Calculator'!C462)</f>
        <v/>
      </c>
    </row>
    <row r="19" spans="2:9">
      <c r="B19" s="638" t="s">
        <v>218</v>
      </c>
      <c r="C19" s="653" t="str">
        <f>IF(C16=0,"",'E Cell Calculator'!D361)</f>
        <v/>
      </c>
      <c r="D19" s="653" t="str">
        <f>IF(D16=0,"",'E Cell Calculator'!D381)</f>
        <v/>
      </c>
      <c r="E19" s="653" t="str">
        <f>IF(E16=0,"",'E Cell Calculator'!D401)</f>
        <v/>
      </c>
      <c r="F19" s="653" t="str">
        <f>IF(F16=0,"",'E Cell Calculator'!D422)</f>
        <v/>
      </c>
      <c r="G19" s="653" t="str">
        <f>IF(G16=0,"",'E Cell Calculator'!D442)</f>
        <v/>
      </c>
      <c r="H19" s="654" t="str">
        <f>IF(H16=0,"",'E Cell Calculator'!D462)</f>
        <v/>
      </c>
    </row>
    <row r="20" spans="2:9">
      <c r="B20" s="638" t="s">
        <v>205</v>
      </c>
      <c r="C20" s="653" t="str">
        <f>IF(C16=0,"",'E Cell Calculator'!E361)</f>
        <v/>
      </c>
      <c r="D20" s="653" t="str">
        <f>IF(D16=0,"",'E Cell Calculator'!E381)</f>
        <v/>
      </c>
      <c r="E20" s="653" t="str">
        <f>IF(E16=0,"",'E Cell Calculator'!E401)</f>
        <v/>
      </c>
      <c r="F20" s="653" t="str">
        <f>IF(F16=0,"",'E Cell Calculator'!E422)</f>
        <v/>
      </c>
      <c r="G20" s="653" t="str">
        <f>IF(G16=0,"",'E Cell Calculator'!E442)</f>
        <v/>
      </c>
      <c r="H20" s="654" t="str">
        <f>IF(H16=0,"",'E Cell Calculator'!E462)</f>
        <v/>
      </c>
    </row>
    <row r="21" spans="2:9" ht="15.75" thickBot="1">
      <c r="B21" s="639" t="s">
        <v>213</v>
      </c>
      <c r="C21" s="1043">
        <f>SUM(C18:C20)</f>
        <v>0</v>
      </c>
      <c r="D21" s="1043">
        <f t="shared" ref="D21:H21" si="1">SUM(D18:D20)</f>
        <v>0</v>
      </c>
      <c r="E21" s="1043">
        <f t="shared" si="1"/>
        <v>0</v>
      </c>
      <c r="F21" s="1043">
        <f t="shared" si="1"/>
        <v>0</v>
      </c>
      <c r="G21" s="1043">
        <f t="shared" si="1"/>
        <v>0</v>
      </c>
      <c r="H21" s="1044">
        <f t="shared" si="1"/>
        <v>0</v>
      </c>
    </row>
    <row r="22" spans="2:9">
      <c r="C22" s="630" t="str">
        <f t="shared" ref="C22:H22" si="2">IF(C16=0,"",C21/C12)</f>
        <v/>
      </c>
      <c r="D22" s="630" t="str">
        <f t="shared" si="2"/>
        <v/>
      </c>
      <c r="E22" s="630" t="str">
        <f t="shared" si="2"/>
        <v/>
      </c>
      <c r="F22" s="630" t="str">
        <f t="shared" si="2"/>
        <v/>
      </c>
      <c r="G22" s="630" t="str">
        <f t="shared" si="2"/>
        <v/>
      </c>
      <c r="H22" s="630" t="str">
        <f t="shared" si="2"/>
        <v/>
      </c>
    </row>
    <row r="23" spans="2:9" ht="15.75" thickBot="1">
      <c r="C23" s="630"/>
      <c r="D23" s="630"/>
      <c r="E23" s="630"/>
      <c r="F23" s="630"/>
      <c r="G23" s="630"/>
      <c r="H23" s="630"/>
    </row>
    <row r="24" spans="2:9">
      <c r="C24" s="1081" t="s">
        <v>542</v>
      </c>
      <c r="D24" s="1082"/>
      <c r="E24" s="1082"/>
      <c r="F24" s="1083"/>
      <c r="G24" s="1078"/>
      <c r="H24" s="630"/>
    </row>
    <row r="25" spans="2:9">
      <c r="C25" s="640" t="s">
        <v>2</v>
      </c>
      <c r="D25" s="634" t="s">
        <v>3</v>
      </c>
      <c r="E25" s="634" t="s">
        <v>205</v>
      </c>
      <c r="F25" s="641" t="s">
        <v>213</v>
      </c>
      <c r="G25" s="1078"/>
      <c r="H25" s="630"/>
      <c r="I25" s="636"/>
    </row>
    <row r="26" spans="2:9">
      <c r="C26" s="655" t="str">
        <f>IF(SUM(C18:H18)=0,"",SUM(C18:H18))</f>
        <v/>
      </c>
      <c r="D26" s="656" t="str">
        <f>IF(SUM(C19:H19)=0,"",SUM(C19:H19))</f>
        <v/>
      </c>
      <c r="E26" s="656" t="str">
        <f>IF(SUM(C20:H20)=0,"",SUM(C20:H20))</f>
        <v/>
      </c>
      <c r="F26" s="657" t="str">
        <f>IF(SUM(C21:H21)=0,"",SUM(C21:H21))</f>
        <v/>
      </c>
      <c r="G26" s="646"/>
      <c r="H26" s="630"/>
    </row>
    <row r="27" spans="2:9">
      <c r="C27" s="642"/>
      <c r="D27" s="630"/>
      <c r="E27" s="630"/>
      <c r="F27" s="643"/>
      <c r="G27" s="630"/>
      <c r="H27" s="630"/>
    </row>
    <row r="28" spans="2:9" ht="15.75" thickBot="1">
      <c r="C28" s="644"/>
      <c r="D28" s="93" t="s">
        <v>543</v>
      </c>
      <c r="E28" s="645" t="str">
        <f>IF(F26="","",F26/(C12+D12+E12+F12+G12+H12))</f>
        <v/>
      </c>
      <c r="F28" s="261"/>
      <c r="G28" s="97"/>
    </row>
    <row r="29" spans="2:9" ht="15.75" thickBot="1">
      <c r="B29" s="557" t="s">
        <v>527</v>
      </c>
      <c r="C29" s="90"/>
    </row>
    <row r="30" spans="2:9">
      <c r="B30" s="1084"/>
      <c r="C30" s="1085"/>
      <c r="D30" s="1085"/>
      <c r="E30" s="1085"/>
      <c r="F30" s="1085"/>
      <c r="G30" s="1085"/>
      <c r="H30" s="1086"/>
    </row>
    <row r="31" spans="2:9">
      <c r="B31" s="1087"/>
      <c r="C31" s="1088"/>
      <c r="D31" s="1088"/>
      <c r="E31" s="1088"/>
      <c r="F31" s="1088"/>
      <c r="G31" s="1088"/>
      <c r="H31" s="1089"/>
    </row>
    <row r="32" spans="2:9">
      <c r="B32" s="1087"/>
      <c r="C32" s="1088"/>
      <c r="D32" s="1088"/>
      <c r="E32" s="1088"/>
      <c r="F32" s="1088"/>
      <c r="G32" s="1088"/>
      <c r="H32" s="1089"/>
    </row>
    <row r="33" spans="2:8">
      <c r="B33" s="1087"/>
      <c r="C33" s="1088"/>
      <c r="D33" s="1088"/>
      <c r="E33" s="1088"/>
      <c r="F33" s="1088"/>
      <c r="G33" s="1088"/>
      <c r="H33" s="1089"/>
    </row>
    <row r="34" spans="2:8" ht="15.75" thickBot="1">
      <c r="B34" s="1090"/>
      <c r="C34" s="1091"/>
      <c r="D34" s="1091"/>
      <c r="E34" s="1091"/>
      <c r="F34" s="1091"/>
      <c r="G34" s="1091"/>
      <c r="H34" s="1092"/>
    </row>
    <row r="35" spans="2:8" ht="15" customHeight="1" thickBot="1">
      <c r="B35" s="633" t="s">
        <v>526</v>
      </c>
    </row>
    <row r="36" spans="2:8" ht="15" customHeight="1">
      <c r="B36" s="1093" t="s">
        <v>652</v>
      </c>
      <c r="C36" s="1094"/>
      <c r="D36" s="1094"/>
      <c r="E36" s="1094"/>
      <c r="F36" s="1094"/>
      <c r="G36" s="1094"/>
      <c r="H36" s="1095"/>
    </row>
    <row r="37" spans="2:8" ht="15" customHeight="1">
      <c r="B37" s="1072" t="s">
        <v>529</v>
      </c>
      <c r="C37" s="1073"/>
      <c r="D37" s="1073"/>
      <c r="E37" s="1073"/>
      <c r="F37" s="1073"/>
      <c r="G37" s="1073"/>
      <c r="H37" s="1074"/>
    </row>
    <row r="38" spans="2:8" ht="15" customHeight="1">
      <c r="B38" s="1072" t="s">
        <v>528</v>
      </c>
      <c r="C38" s="1073"/>
      <c r="D38" s="1073"/>
      <c r="E38" s="1073"/>
      <c r="F38" s="1073"/>
      <c r="G38" s="1073"/>
      <c r="H38" s="1074"/>
    </row>
    <row r="39" spans="2:8" ht="15" customHeight="1">
      <c r="B39" s="1072" t="s">
        <v>530</v>
      </c>
      <c r="C39" s="1073"/>
      <c r="D39" s="1073"/>
      <c r="E39" s="1073"/>
      <c r="F39" s="1073"/>
      <c r="G39" s="1073"/>
      <c r="H39" s="1074"/>
    </row>
    <row r="40" spans="2:8" ht="15" customHeight="1">
      <c r="B40" s="1075" t="s">
        <v>534</v>
      </c>
      <c r="C40" s="1076"/>
      <c r="D40" s="1076"/>
      <c r="E40" s="1076"/>
      <c r="F40" s="1076"/>
      <c r="G40" s="1076"/>
      <c r="H40" s="1077"/>
    </row>
    <row r="41" spans="2:8" ht="15" customHeight="1">
      <c r="B41" s="1066" t="s">
        <v>533</v>
      </c>
      <c r="C41" s="1067"/>
      <c r="D41" s="1067"/>
      <c r="E41" s="1067"/>
      <c r="F41" s="1067"/>
      <c r="G41" s="1067"/>
      <c r="H41" s="1068"/>
    </row>
    <row r="42" spans="2:8" ht="15" customHeight="1">
      <c r="B42" s="1066" t="s">
        <v>531</v>
      </c>
      <c r="C42" s="1067"/>
      <c r="D42" s="1067"/>
      <c r="E42" s="1067"/>
      <c r="F42" s="1067"/>
      <c r="G42" s="1067"/>
      <c r="H42" s="1068"/>
    </row>
    <row r="43" spans="2:8" ht="15" customHeight="1">
      <c r="B43" s="1066" t="s">
        <v>540</v>
      </c>
      <c r="C43" s="1067"/>
      <c r="D43" s="1067"/>
      <c r="E43" s="1067"/>
      <c r="F43" s="1067"/>
      <c r="G43" s="1067"/>
      <c r="H43" s="1068"/>
    </row>
    <row r="44" spans="2:8" ht="15" customHeight="1">
      <c r="B44" s="1072" t="s">
        <v>535</v>
      </c>
      <c r="C44" s="1073"/>
      <c r="D44" s="1073"/>
      <c r="E44" s="1073"/>
      <c r="F44" s="1073"/>
      <c r="G44" s="1073"/>
      <c r="H44" s="1074"/>
    </row>
    <row r="45" spans="2:8" ht="15" customHeight="1">
      <c r="B45" s="1066" t="s">
        <v>536</v>
      </c>
      <c r="C45" s="1067"/>
      <c r="D45" s="1067"/>
      <c r="E45" s="1067"/>
      <c r="F45" s="1067"/>
      <c r="G45" s="1067"/>
      <c r="H45" s="1068"/>
    </row>
    <row r="46" spans="2:8" ht="15" customHeight="1">
      <c r="B46" s="1066" t="s">
        <v>532</v>
      </c>
      <c r="C46" s="1067"/>
      <c r="D46" s="1067"/>
      <c r="E46" s="1067"/>
      <c r="F46" s="1067"/>
      <c r="G46" s="1067"/>
      <c r="H46" s="1068"/>
    </row>
    <row r="47" spans="2:8" ht="15" customHeight="1">
      <c r="B47" s="1066" t="s">
        <v>537</v>
      </c>
      <c r="C47" s="1067"/>
      <c r="D47" s="1067"/>
      <c r="E47" s="1067"/>
      <c r="F47" s="1067"/>
      <c r="G47" s="1067"/>
      <c r="H47" s="1068"/>
    </row>
    <row r="48" spans="2:8" ht="15" customHeight="1">
      <c r="B48" s="1066" t="s">
        <v>538</v>
      </c>
      <c r="C48" s="1067"/>
      <c r="D48" s="1067"/>
      <c r="E48" s="1067"/>
      <c r="F48" s="1067"/>
      <c r="G48" s="1067"/>
      <c r="H48" s="1068"/>
    </row>
    <row r="49" spans="2:8" ht="15" customHeight="1">
      <c r="B49" s="1075" t="s">
        <v>541</v>
      </c>
      <c r="C49" s="1076"/>
      <c r="D49" s="1076"/>
      <c r="E49" s="1076"/>
      <c r="F49" s="1076"/>
      <c r="G49" s="1076"/>
      <c r="H49" s="1077"/>
    </row>
    <row r="50" spans="2:8" ht="15" customHeight="1" thickBot="1">
      <c r="B50" s="1075" t="s">
        <v>539</v>
      </c>
      <c r="C50" s="1076"/>
      <c r="D50" s="1076"/>
      <c r="E50" s="1076"/>
      <c r="F50" s="1076"/>
      <c r="G50" s="1076"/>
      <c r="H50" s="1077"/>
    </row>
    <row r="51" spans="2:8" ht="26.25" customHeight="1">
      <c r="B51" s="1080"/>
      <c r="C51" s="1080"/>
      <c r="D51" s="1080"/>
      <c r="E51" s="1080"/>
      <c r="F51" s="1080"/>
      <c r="G51" s="1080"/>
      <c r="H51" s="1080"/>
    </row>
    <row r="52" spans="2:8" ht="15.75" customHeight="1">
      <c r="B52" s="1065"/>
      <c r="C52" s="1065"/>
      <c r="D52" s="1065"/>
      <c r="E52" s="1065"/>
    </row>
    <row r="53" spans="2:8" ht="15.75" customHeight="1">
      <c r="B53" s="1065"/>
      <c r="C53" s="1065"/>
      <c r="D53" s="1065"/>
      <c r="E53" s="1065"/>
    </row>
    <row r="54" spans="2:8" ht="15.75" customHeight="1">
      <c r="B54" s="1065"/>
      <c r="C54" s="1065"/>
      <c r="D54" s="1065"/>
      <c r="E54" s="1065"/>
    </row>
    <row r="55" spans="2:8" ht="15.75" customHeight="1">
      <c r="B55" s="1065"/>
      <c r="C55" s="1065"/>
      <c r="D55" s="1065"/>
      <c r="E55" s="1065"/>
    </row>
  </sheetData>
  <sheetProtection password="8CE6" sheet="1" objects="1" scenarios="1"/>
  <mergeCells count="29">
    <mergeCell ref="B1:H1"/>
    <mergeCell ref="B51:H51"/>
    <mergeCell ref="C24:F24"/>
    <mergeCell ref="B30:H30"/>
    <mergeCell ref="B31:H31"/>
    <mergeCell ref="B32:H32"/>
    <mergeCell ref="B33:H33"/>
    <mergeCell ref="B34:H34"/>
    <mergeCell ref="B36:H36"/>
    <mergeCell ref="B37:H37"/>
    <mergeCell ref="B38:H38"/>
    <mergeCell ref="B39:H39"/>
    <mergeCell ref="B40:H40"/>
    <mergeCell ref="B41:H41"/>
    <mergeCell ref="B54:E54"/>
    <mergeCell ref="B55:E55"/>
    <mergeCell ref="B47:H47"/>
    <mergeCell ref="B48:H48"/>
    <mergeCell ref="B7:D7"/>
    <mergeCell ref="B52:E52"/>
    <mergeCell ref="B53:E53"/>
    <mergeCell ref="B42:H42"/>
    <mergeCell ref="B43:H43"/>
    <mergeCell ref="B44:H44"/>
    <mergeCell ref="B45:H45"/>
    <mergeCell ref="B46:H46"/>
    <mergeCell ref="B49:H49"/>
    <mergeCell ref="B50:H50"/>
    <mergeCell ref="G24:G25"/>
  </mergeCells>
  <dataValidations xWindow="453" yWindow="399" count="2">
    <dataValidation allowBlank="1" showInputMessage="1" showErrorMessage="1" prompt="Uphill Empty_x000a_=Positve Slope_x000a__x000a_Uphill Loaded_x000a_=Negitive Slope_x000a_" sqref="C15:H15"/>
    <dataValidation allowBlank="1" showInputMessage="1" showErrorMessage="1" prompt="Input proposed submittal date." sqref="C6:H6"/>
  </dataValidations>
  <printOptions horizontalCentered="1" verticalCentered="1"/>
  <pageMargins left="0.25" right="0.25" top="0.5" bottom="0.5" header="0.3" footer="0.3"/>
  <pageSetup scale="77" orientation="portrait" r:id="rId1"/>
  <headerFooter scaleWithDoc="0">
    <oddHeader>&amp;C&amp;"Arial Black,Bold"&amp;12&amp;K0000FFSimplified Evaporation Cell Reclamation Cost Estimate</oddHeader>
    <oddFooter xml:space="preserve">&amp;L&amp;"Arial,Regular"&amp;10&amp;F&amp;CPrinted &amp;D&amp;RNDEP ECell Calculator Page &amp;P of &amp;N </oddFooter>
  </headerFooter>
  <extLst>
    <ext xmlns:x14="http://schemas.microsoft.com/office/spreadsheetml/2009/9/main" uri="{CCE6A557-97BC-4b89-ADB6-D9C93CAAB3DF}">
      <x14:dataValidations xmlns:xm="http://schemas.microsoft.com/office/excel/2006/main" xWindow="453" yWindow="399" count="2">
        <x14:dataValidation type="list" allowBlank="1" showInputMessage="1" showErrorMessage="1" prompt="Select Pond _x000a_Configuration">
          <x14:formula1>
            <xm:f>'E Cell Calculator'!$J$642:$J$645</xm:f>
          </x14:formula1>
          <xm:sqref>C10:H10</xm:sqref>
        </x14:dataValidation>
        <x14:dataValidation type="list" allowBlank="1" showInputMessage="1" showErrorMessage="1" prompt="Select Fleet">
          <x14:formula1>
            <xm:f>'E Cell Calculator'!$J$648:$J$649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59999389629810485"/>
    <pageSetUpPr fitToPage="1"/>
  </sheetPr>
  <dimension ref="A1:BT761"/>
  <sheetViews>
    <sheetView zoomScale="70" zoomScaleNormal="70" zoomScaleSheetLayoutView="67" workbookViewId="0">
      <selection activeCell="J3" sqref="J3:M3"/>
    </sheetView>
  </sheetViews>
  <sheetFormatPr defaultRowHeight="15"/>
  <cols>
    <col min="1" max="1" width="6.85546875" customWidth="1"/>
    <col min="2" max="2" width="38.42578125" customWidth="1"/>
    <col min="3" max="3" width="14.28515625" customWidth="1"/>
    <col min="4" max="4" width="15.85546875" customWidth="1"/>
    <col min="5" max="6" width="15.5703125" customWidth="1"/>
    <col min="7" max="7" width="17.140625" customWidth="1"/>
    <col min="8" max="8" width="16.5703125" customWidth="1"/>
    <col min="9" max="9" width="16" customWidth="1"/>
    <col min="10" max="10" width="15" customWidth="1"/>
    <col min="11" max="11" width="17" customWidth="1"/>
    <col min="12" max="12" width="16" customWidth="1"/>
    <col min="13" max="13" width="15.5703125" customWidth="1"/>
    <col min="14" max="14" width="17.28515625" customWidth="1"/>
    <col min="15" max="15" width="17.85546875" customWidth="1"/>
    <col min="16" max="16" width="19.28515625" customWidth="1"/>
    <col min="17" max="17" width="15.85546875" customWidth="1"/>
    <col min="18" max="18" width="17.85546875" customWidth="1"/>
    <col min="19" max="19" width="21.85546875" customWidth="1"/>
    <col min="20" max="20" width="13.28515625" customWidth="1"/>
    <col min="21" max="21" width="14.28515625" customWidth="1"/>
    <col min="22" max="22" width="18.5703125" customWidth="1"/>
    <col min="23" max="23" width="17.28515625" customWidth="1"/>
    <col min="24" max="24" width="14.5703125" customWidth="1"/>
    <col min="25" max="25" width="11.7109375" customWidth="1"/>
    <col min="26" max="26" width="14.7109375" customWidth="1"/>
    <col min="27" max="27" width="11.140625" customWidth="1"/>
    <col min="28" max="28" width="11.42578125" bestFit="1" customWidth="1"/>
    <col min="29" max="29" width="12" customWidth="1"/>
    <col min="30" max="30" width="9.140625" customWidth="1"/>
    <col min="31" max="31" width="10" customWidth="1"/>
    <col min="32" max="32" width="11.140625" customWidth="1"/>
    <col min="33" max="33" width="10.5703125" customWidth="1"/>
    <col min="34" max="34" width="12.42578125" customWidth="1"/>
    <col min="35" max="35" width="13" customWidth="1"/>
    <col min="36" max="36" width="12.42578125" bestFit="1" customWidth="1"/>
    <col min="37" max="37" width="13.5703125" bestFit="1" customWidth="1"/>
    <col min="38" max="38" width="11.7109375" customWidth="1"/>
    <col min="39" max="39" width="11.28515625" customWidth="1"/>
  </cols>
  <sheetData>
    <row r="1" spans="1:18" ht="33.75">
      <c r="A1" s="1166"/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</row>
    <row r="2" spans="1:18" ht="15.75" thickBot="1">
      <c r="P2" s="297"/>
    </row>
    <row r="3" spans="1:18" ht="18.75" thickBot="1">
      <c r="A3" s="10" t="s">
        <v>0</v>
      </c>
      <c r="B3" s="11"/>
      <c r="C3" s="11"/>
      <c r="D3" s="11"/>
      <c r="E3" s="363" t="s">
        <v>285</v>
      </c>
      <c r="F3" s="12"/>
      <c r="H3" s="1155" t="s">
        <v>627</v>
      </c>
      <c r="I3" s="1155"/>
      <c r="J3" s="1151" t="str">
        <f>IF('EZ ECell'!C2="","",'EZ ECell'!C2)</f>
        <v/>
      </c>
      <c r="K3" s="1151"/>
      <c r="L3" s="1151"/>
      <c r="M3" s="1151"/>
      <c r="P3" s="358"/>
      <c r="R3" s="9"/>
    </row>
    <row r="4" spans="1:18" ht="18">
      <c r="A4" s="755"/>
      <c r="B4" s="756"/>
      <c r="C4" s="757" t="s">
        <v>2</v>
      </c>
      <c r="D4" s="757" t="s">
        <v>3</v>
      </c>
      <c r="E4" s="757" t="s">
        <v>4</v>
      </c>
      <c r="F4" s="757" t="s">
        <v>5</v>
      </c>
      <c r="H4" s="851" t="s">
        <v>517</v>
      </c>
      <c r="J4" s="1151" t="str">
        <f>IF('EZ ECell'!C3="","",'EZ ECell'!C3)</f>
        <v/>
      </c>
      <c r="K4" s="1151"/>
      <c r="L4" s="1151"/>
      <c r="M4" s="1151"/>
      <c r="P4" s="753"/>
      <c r="R4" s="9"/>
    </row>
    <row r="5" spans="1:18" ht="18">
      <c r="A5" s="758"/>
      <c r="B5" s="759" t="s">
        <v>54</v>
      </c>
      <c r="C5" s="760" t="s">
        <v>56</v>
      </c>
      <c r="D5" s="761">
        <f>G131</f>
        <v>0</v>
      </c>
      <c r="E5" s="761" t="s">
        <v>56</v>
      </c>
      <c r="F5" s="757">
        <f t="shared" ref="F5:F21" si="0">SUM(C5:E5)</f>
        <v>0</v>
      </c>
      <c r="H5" s="851" t="s">
        <v>518</v>
      </c>
      <c r="J5" s="1151" t="str">
        <f>IF('EZ ECell'!C4="","",'EZ ECell'!C4)</f>
        <v/>
      </c>
      <c r="K5" s="1151"/>
      <c r="L5" s="1151"/>
      <c r="M5" s="1151"/>
      <c r="P5" s="297"/>
      <c r="R5" s="9"/>
    </row>
    <row r="6" spans="1:18" ht="18">
      <c r="A6" s="758"/>
      <c r="B6" s="759" t="s">
        <v>92</v>
      </c>
      <c r="C6" s="762">
        <f>E146</f>
        <v>0</v>
      </c>
      <c r="D6" s="763">
        <f>F146</f>
        <v>0</v>
      </c>
      <c r="E6" s="763">
        <f>G146</f>
        <v>0</v>
      </c>
      <c r="F6" s="757">
        <f t="shared" si="0"/>
        <v>0</v>
      </c>
      <c r="H6" s="851" t="s">
        <v>521</v>
      </c>
      <c r="J6" s="1151" t="str">
        <f>IF('EZ ECell'!C5="","",'EZ ECell'!C5)</f>
        <v/>
      </c>
      <c r="K6" s="1151"/>
      <c r="L6" s="1151"/>
      <c r="M6" s="1151"/>
      <c r="P6" s="297"/>
      <c r="R6" s="9"/>
    </row>
    <row r="7" spans="1:18" ht="18">
      <c r="A7" s="758"/>
      <c r="B7" s="759" t="s">
        <v>85</v>
      </c>
      <c r="C7" s="762">
        <f>L162</f>
        <v>0</v>
      </c>
      <c r="D7" s="762">
        <f>M162</f>
        <v>0</v>
      </c>
      <c r="E7" s="762" t="s">
        <v>56</v>
      </c>
      <c r="F7" s="757">
        <f t="shared" si="0"/>
        <v>0</v>
      </c>
      <c r="G7" s="13"/>
      <c r="H7" s="851" t="s">
        <v>44</v>
      </c>
      <c r="I7" s="851"/>
      <c r="J7" s="1152">
        <f ca="1">IF('EZ ECell'!C6="","",'EZ ECell'!C6)</f>
        <v>43444</v>
      </c>
      <c r="K7" s="1152"/>
      <c r="L7" s="1152"/>
      <c r="M7" s="1152"/>
      <c r="O7" s="13"/>
      <c r="P7" s="13"/>
      <c r="Q7" s="13"/>
      <c r="R7" s="9"/>
    </row>
    <row r="8" spans="1:18" ht="18">
      <c r="A8" s="758"/>
      <c r="B8" s="759" t="s">
        <v>598</v>
      </c>
      <c r="C8" s="762">
        <f>E177</f>
        <v>0</v>
      </c>
      <c r="D8" s="762">
        <f>F177</f>
        <v>0</v>
      </c>
      <c r="E8" s="762">
        <f>G177</f>
        <v>0</v>
      </c>
      <c r="F8" s="757">
        <f t="shared" si="0"/>
        <v>0</v>
      </c>
      <c r="G8" s="13"/>
      <c r="H8" s="851" t="s">
        <v>252</v>
      </c>
      <c r="I8" s="851"/>
      <c r="J8" s="1153" t="str">
        <f ca="1">MID(CELL("filename"),SEARCH("[",CELL("filename"))+1,SEARCH("]",CELL("filename"))-SEARCH("[",CELL("filename"))-1)</f>
        <v>EZ E-Cell Calculator 08-01-18_web.xlsm</v>
      </c>
      <c r="K8" s="1153"/>
      <c r="L8" s="1153"/>
      <c r="M8" s="1153"/>
      <c r="O8" s="13"/>
      <c r="P8" s="13"/>
      <c r="Q8" s="13"/>
      <c r="R8" s="9"/>
    </row>
    <row r="9" spans="1:18" ht="18">
      <c r="A9" s="764"/>
      <c r="B9" s="765" t="s">
        <v>83</v>
      </c>
      <c r="C9" s="762">
        <f>E192</f>
        <v>0</v>
      </c>
      <c r="D9" s="762">
        <f>F192</f>
        <v>0</v>
      </c>
      <c r="E9" s="762">
        <f>G192</f>
        <v>0</v>
      </c>
      <c r="F9" s="757">
        <f t="shared" si="0"/>
        <v>0</v>
      </c>
      <c r="G9" s="86"/>
      <c r="H9" s="851" t="s">
        <v>45</v>
      </c>
      <c r="I9" s="851"/>
      <c r="J9" s="1158" t="s">
        <v>654</v>
      </c>
      <c r="K9" s="1158"/>
      <c r="L9" s="1158"/>
      <c r="M9" s="1158"/>
      <c r="R9" s="9"/>
    </row>
    <row r="10" spans="1:18" ht="18">
      <c r="A10" s="758"/>
      <c r="B10" s="759" t="s">
        <v>597</v>
      </c>
      <c r="C10" s="762">
        <f>E207</f>
        <v>0</v>
      </c>
      <c r="D10" s="762">
        <f>F207</f>
        <v>0</v>
      </c>
      <c r="E10" s="762">
        <f>G207</f>
        <v>0</v>
      </c>
      <c r="F10" s="757">
        <f t="shared" si="0"/>
        <v>0</v>
      </c>
      <c r="G10" s="86"/>
      <c r="H10" s="851" t="s">
        <v>46</v>
      </c>
      <c r="I10" s="851"/>
      <c r="J10" s="1153" t="s">
        <v>653</v>
      </c>
      <c r="K10" s="1153"/>
      <c r="L10" s="1153"/>
      <c r="M10" s="1153"/>
      <c r="N10" s="13"/>
      <c r="R10" s="9"/>
    </row>
    <row r="11" spans="1:18" ht="18">
      <c r="A11" s="764"/>
      <c r="B11" s="765" t="s">
        <v>76</v>
      </c>
      <c r="C11" s="762">
        <f>F221</f>
        <v>0</v>
      </c>
      <c r="D11" s="762">
        <f>G221</f>
        <v>0</v>
      </c>
      <c r="E11" s="762" t="s">
        <v>56</v>
      </c>
      <c r="F11" s="757">
        <f t="shared" si="0"/>
        <v>0</v>
      </c>
      <c r="G11" s="86"/>
      <c r="H11" s="851" t="s">
        <v>286</v>
      </c>
      <c r="I11" s="851"/>
      <c r="J11" s="1189">
        <v>43313</v>
      </c>
      <c r="K11" s="1189"/>
      <c r="L11" s="1189"/>
      <c r="M11" s="1189"/>
      <c r="N11" s="13"/>
      <c r="O11" s="9"/>
      <c r="P11" s="301"/>
      <c r="Q11" s="301"/>
      <c r="R11" s="9"/>
    </row>
    <row r="12" spans="1:18" ht="18">
      <c r="A12" s="764"/>
      <c r="B12" s="765" t="s">
        <v>58</v>
      </c>
      <c r="C12" s="762">
        <f>F235</f>
        <v>0</v>
      </c>
      <c r="D12" s="762">
        <f>G235</f>
        <v>0</v>
      </c>
      <c r="E12" s="762">
        <f>H235</f>
        <v>0</v>
      </c>
      <c r="F12" s="757">
        <f t="shared" si="0"/>
        <v>0</v>
      </c>
      <c r="G12" s="86"/>
      <c r="H12" s="851" t="s">
        <v>510</v>
      </c>
      <c r="I12" s="851"/>
      <c r="J12" s="1153" t="s">
        <v>651</v>
      </c>
      <c r="K12" s="1153"/>
      <c r="L12" s="1153"/>
      <c r="M12" s="1153"/>
      <c r="O12" s="9"/>
      <c r="P12" s="9"/>
      <c r="Q12" s="9"/>
      <c r="R12" s="9"/>
    </row>
    <row r="13" spans="1:18" ht="15" customHeight="1">
      <c r="A13" s="764"/>
      <c r="B13" s="765" t="s">
        <v>59</v>
      </c>
      <c r="C13" s="762">
        <f>F249</f>
        <v>0</v>
      </c>
      <c r="D13" s="762">
        <f>G249</f>
        <v>0</v>
      </c>
      <c r="E13" s="762">
        <f>H249</f>
        <v>0</v>
      </c>
      <c r="F13" s="757">
        <f t="shared" si="0"/>
        <v>0</v>
      </c>
      <c r="G13" s="9"/>
      <c r="H13" s="905"/>
      <c r="I13" s="905"/>
      <c r="J13" s="906"/>
      <c r="K13" s="906"/>
      <c r="L13" s="906"/>
      <c r="M13" s="906"/>
      <c r="O13" s="9"/>
      <c r="P13" s="9"/>
      <c r="Q13" s="9"/>
      <c r="R13" s="9"/>
    </row>
    <row r="14" spans="1:18" ht="15" customHeight="1">
      <c r="A14" s="764"/>
      <c r="B14" s="765" t="s">
        <v>511</v>
      </c>
      <c r="C14" s="762">
        <f>G263</f>
        <v>0</v>
      </c>
      <c r="D14" s="762">
        <f>H263</f>
        <v>0</v>
      </c>
      <c r="E14" s="762" t="s">
        <v>56</v>
      </c>
      <c r="F14" s="757">
        <f t="shared" si="0"/>
        <v>0</v>
      </c>
      <c r="G14" s="9"/>
      <c r="H14" s="326"/>
      <c r="I14" s="326"/>
      <c r="J14" s="482"/>
      <c r="K14" s="482"/>
      <c r="L14" s="482"/>
      <c r="M14" s="482"/>
      <c r="O14" s="9"/>
      <c r="P14" s="9"/>
      <c r="Q14" s="9"/>
      <c r="R14" s="9"/>
    </row>
    <row r="15" spans="1:18">
      <c r="A15" s="764"/>
      <c r="B15" s="765" t="s">
        <v>34</v>
      </c>
      <c r="C15" s="762">
        <f>H277</f>
        <v>0</v>
      </c>
      <c r="D15" s="762">
        <f>I277</f>
        <v>0</v>
      </c>
      <c r="E15" s="763" t="s">
        <v>56</v>
      </c>
      <c r="F15" s="757">
        <f t="shared" si="0"/>
        <v>0</v>
      </c>
      <c r="G15" s="9"/>
      <c r="O15" s="9"/>
      <c r="P15" s="9"/>
      <c r="Q15" s="9"/>
      <c r="R15" s="9"/>
    </row>
    <row r="16" spans="1:18">
      <c r="A16" s="764"/>
      <c r="B16" s="765" t="s">
        <v>66</v>
      </c>
      <c r="C16" s="762">
        <f>C305</f>
        <v>0</v>
      </c>
      <c r="D16" s="762">
        <f>D305</f>
        <v>0</v>
      </c>
      <c r="E16" s="762">
        <f>E305</f>
        <v>0</v>
      </c>
      <c r="F16" s="757">
        <f t="shared" si="0"/>
        <v>0</v>
      </c>
      <c r="O16" s="9"/>
      <c r="P16" s="9"/>
      <c r="Q16" s="9"/>
      <c r="R16" s="9"/>
    </row>
    <row r="17" spans="1:18">
      <c r="A17" s="764"/>
      <c r="B17" s="765" t="s">
        <v>55</v>
      </c>
      <c r="C17" s="762">
        <f>F320</f>
        <v>0</v>
      </c>
      <c r="D17" s="762">
        <f>G320</f>
        <v>0</v>
      </c>
      <c r="E17" s="762">
        <f>H320</f>
        <v>0</v>
      </c>
      <c r="F17" s="757">
        <f t="shared" si="0"/>
        <v>0</v>
      </c>
      <c r="O17" s="9"/>
      <c r="P17" s="9"/>
      <c r="Q17" s="9"/>
      <c r="R17" s="9"/>
    </row>
    <row r="18" spans="1:18" ht="15.75" thickBot="1">
      <c r="A18" s="766"/>
      <c r="B18" s="767" t="s">
        <v>230</v>
      </c>
      <c r="C18" s="768">
        <f>H337</f>
        <v>0</v>
      </c>
      <c r="D18" s="768">
        <f>I337</f>
        <v>0</v>
      </c>
      <c r="E18" s="768" t="s">
        <v>56</v>
      </c>
      <c r="F18" s="757">
        <f t="shared" si="0"/>
        <v>0</v>
      </c>
      <c r="G18" s="9"/>
      <c r="H18" s="9"/>
      <c r="I18" s="9"/>
      <c r="L18" s="9"/>
      <c r="M18" s="9"/>
      <c r="N18" s="9"/>
      <c r="O18" s="301"/>
      <c r="P18" s="301"/>
      <c r="Q18" s="301"/>
      <c r="R18" s="9"/>
    </row>
    <row r="19" spans="1:18">
      <c r="A19" s="769"/>
      <c r="B19" s="770" t="s">
        <v>110</v>
      </c>
      <c r="C19" s="771">
        <f>SUM(C5:C18)</f>
        <v>0</v>
      </c>
      <c r="D19" s="771">
        <f>SUM(D5:D18)</f>
        <v>0</v>
      </c>
      <c r="E19" s="771">
        <f>SUM(E5:E18)</f>
        <v>0</v>
      </c>
      <c r="F19" s="772">
        <f t="shared" si="0"/>
        <v>0</v>
      </c>
      <c r="G19" s="9"/>
      <c r="H19" s="9"/>
      <c r="I19" s="9"/>
      <c r="L19" s="9"/>
      <c r="M19" s="9"/>
      <c r="N19" s="9"/>
      <c r="O19" s="301"/>
      <c r="P19" s="301"/>
      <c r="Q19" s="301"/>
      <c r="R19" s="9"/>
    </row>
    <row r="20" spans="1:18" ht="15.75" thickBot="1">
      <c r="A20" s="764"/>
      <c r="B20" s="765" t="s">
        <v>6</v>
      </c>
      <c r="C20" s="762">
        <f>L337</f>
        <v>0</v>
      </c>
      <c r="D20" s="762">
        <f>M337</f>
        <v>0</v>
      </c>
      <c r="E20" s="762">
        <f>N337</f>
        <v>0</v>
      </c>
      <c r="F20" s="773">
        <f t="shared" si="0"/>
        <v>0</v>
      </c>
      <c r="G20" s="9"/>
      <c r="H20" s="9"/>
      <c r="I20" s="9"/>
      <c r="L20" s="9"/>
      <c r="M20" s="9"/>
      <c r="N20" s="9"/>
      <c r="O20" s="301"/>
      <c r="P20" s="301"/>
      <c r="Q20" s="301"/>
      <c r="R20" s="9"/>
    </row>
    <row r="21" spans="1:18" ht="15.75" thickBot="1">
      <c r="A21" s="774"/>
      <c r="B21" s="775" t="s">
        <v>7</v>
      </c>
      <c r="C21" s="776">
        <f>C19+C20</f>
        <v>0</v>
      </c>
      <c r="D21" s="776">
        <f>D19+D20</f>
        <v>0</v>
      </c>
      <c r="E21" s="776">
        <f>E19+E20</f>
        <v>0</v>
      </c>
      <c r="F21" s="777">
        <f t="shared" si="0"/>
        <v>0</v>
      </c>
      <c r="G21" s="9"/>
      <c r="I21" s="9"/>
      <c r="K21" s="301"/>
      <c r="L21" s="9"/>
      <c r="M21" s="9"/>
      <c r="N21" s="9"/>
      <c r="R21" s="9"/>
    </row>
    <row r="22" spans="1:18" ht="17.25" customHeight="1" thickBot="1">
      <c r="A22" s="81"/>
      <c r="B22" s="98"/>
      <c r="C22" s="99"/>
      <c r="D22" s="99"/>
      <c r="E22" s="99"/>
      <c r="F22" s="99"/>
      <c r="G22" s="9"/>
      <c r="I22" s="9"/>
      <c r="L22" s="9"/>
      <c r="M22" s="9"/>
      <c r="N22" s="9"/>
      <c r="R22" s="9"/>
    </row>
    <row r="23" spans="1:18" ht="15.75" customHeight="1">
      <c r="A23" s="14" t="s">
        <v>8</v>
      </c>
      <c r="B23" s="15"/>
      <c r="C23" s="16"/>
      <c r="D23" s="16"/>
      <c r="E23" s="16"/>
      <c r="F23" s="17"/>
      <c r="G23" s="9"/>
      <c r="I23" s="9"/>
      <c r="O23" s="9"/>
      <c r="P23" s="95"/>
      <c r="Q23" s="9"/>
      <c r="R23" s="9"/>
    </row>
    <row r="24" spans="1:18">
      <c r="A24" s="18"/>
      <c r="B24" s="9"/>
      <c r="C24" s="19" t="s">
        <v>9</v>
      </c>
      <c r="D24" s="1063" t="s">
        <v>10</v>
      </c>
      <c r="E24" s="563"/>
      <c r="F24" s="564"/>
      <c r="G24" s="9"/>
      <c r="I24" s="9"/>
      <c r="J24" s="301"/>
      <c r="K24" s="301"/>
      <c r="L24" s="301"/>
      <c r="M24" s="357"/>
      <c r="N24" s="358"/>
      <c r="O24" s="123"/>
      <c r="P24" s="9"/>
      <c r="R24" s="9"/>
    </row>
    <row r="25" spans="1:18">
      <c r="A25" s="18"/>
      <c r="B25" s="9"/>
      <c r="C25" s="19" t="s">
        <v>11</v>
      </c>
      <c r="D25" s="593" t="s">
        <v>12</v>
      </c>
      <c r="E25" s="594"/>
      <c r="F25" s="595"/>
      <c r="G25" s="9"/>
      <c r="I25" s="9"/>
      <c r="J25" s="301"/>
      <c r="L25" s="301"/>
      <c r="M25" s="301"/>
      <c r="N25" s="301"/>
      <c r="O25" s="9"/>
      <c r="P25" s="9"/>
      <c r="R25" s="9"/>
    </row>
    <row r="26" spans="1:18">
      <c r="A26" s="18"/>
      <c r="B26" s="9"/>
      <c r="C26" s="19" t="s">
        <v>13</v>
      </c>
      <c r="D26" s="588" t="s">
        <v>14</v>
      </c>
      <c r="E26" s="589"/>
      <c r="F26" s="590"/>
      <c r="G26" s="9"/>
      <c r="I26" s="9"/>
      <c r="J26" s="301"/>
      <c r="K26" s="314"/>
      <c r="L26" s="301"/>
      <c r="M26" s="301"/>
      <c r="N26" s="301"/>
      <c r="O26" s="9"/>
      <c r="P26" s="9"/>
      <c r="R26" s="9"/>
    </row>
    <row r="27" spans="1:18" ht="15.75" thickBot="1">
      <c r="A27" s="20"/>
      <c r="B27" s="21"/>
      <c r="C27" s="22" t="s">
        <v>15</v>
      </c>
      <c r="D27" s="1041" t="s">
        <v>16</v>
      </c>
      <c r="E27" s="1041"/>
      <c r="F27" s="1042"/>
      <c r="G27" s="9"/>
      <c r="O27" s="9"/>
      <c r="P27" s="9"/>
      <c r="R27" s="9"/>
    </row>
    <row r="28" spans="1:18">
      <c r="A28" s="9"/>
      <c r="B28" s="9"/>
      <c r="C28" s="19"/>
      <c r="D28" s="915"/>
      <c r="E28" s="915"/>
      <c r="F28" s="915"/>
      <c r="G28" s="9"/>
      <c r="O28" s="9"/>
      <c r="P28" s="9"/>
      <c r="R28" s="9"/>
    </row>
    <row r="29" spans="1:18" ht="15.75" thickBot="1">
      <c r="A29" s="9"/>
      <c r="B29" s="9"/>
      <c r="C29" s="9"/>
      <c r="D29" s="9"/>
      <c r="E29" s="9"/>
      <c r="F29" s="9"/>
      <c r="G29" s="9"/>
      <c r="H29" s="9"/>
      <c r="I29" s="9"/>
      <c r="L29" s="9"/>
      <c r="M29" s="9"/>
      <c r="N29" s="9"/>
      <c r="O29" s="9"/>
      <c r="P29" s="9"/>
      <c r="Q29" s="9"/>
      <c r="R29" s="9"/>
    </row>
    <row r="30" spans="1:18" ht="18.75" thickBot="1">
      <c r="A30" s="798" t="s">
        <v>49</v>
      </c>
      <c r="B30" s="10"/>
      <c r="C30" s="11"/>
      <c r="D30" s="11"/>
      <c r="E30" s="23" t="s">
        <v>17</v>
      </c>
      <c r="F30" s="11"/>
      <c r="G30" s="11"/>
      <c r="H30" s="24"/>
      <c r="I30" s="24"/>
      <c r="J30" s="24"/>
      <c r="K30" s="24"/>
      <c r="L30" s="24"/>
      <c r="M30" s="24"/>
      <c r="N30" s="25"/>
      <c r="O30" s="13"/>
      <c r="P30" s="550"/>
    </row>
    <row r="31" spans="1:18" ht="19.5" thickBot="1">
      <c r="A31" s="26"/>
      <c r="B31" s="27"/>
      <c r="C31" s="28"/>
      <c r="D31" s="1098" t="s">
        <v>552</v>
      </c>
      <c r="E31" s="1099"/>
      <c r="F31" s="1099"/>
      <c r="G31" s="1099"/>
      <c r="H31" s="1100"/>
      <c r="I31" s="1098" t="s">
        <v>555</v>
      </c>
      <c r="J31" s="1099"/>
      <c r="K31" s="1099"/>
      <c r="L31" s="1099"/>
      <c r="M31" s="1099"/>
      <c r="N31" s="1100"/>
    </row>
    <row r="32" spans="1:18" ht="40.5" customHeight="1">
      <c r="A32" s="1096" t="s">
        <v>18</v>
      </c>
      <c r="B32" s="1154"/>
      <c r="C32" s="1009" t="s">
        <v>628</v>
      </c>
      <c r="D32" s="1010" t="s">
        <v>19</v>
      </c>
      <c r="E32" s="1011" t="s">
        <v>20</v>
      </c>
      <c r="F32" s="1011" t="s">
        <v>152</v>
      </c>
      <c r="G32" s="1012" t="s">
        <v>599</v>
      </c>
      <c r="H32" s="1013" t="s">
        <v>396</v>
      </c>
      <c r="I32" s="1014" t="s">
        <v>143</v>
      </c>
      <c r="J32" s="1015" t="s">
        <v>557</v>
      </c>
      <c r="K32" s="1016" t="s">
        <v>629</v>
      </c>
      <c r="L32" s="1017" t="s">
        <v>129</v>
      </c>
      <c r="M32" s="1018" t="s">
        <v>130</v>
      </c>
      <c r="N32" s="1019" t="s">
        <v>131</v>
      </c>
      <c r="P32" s="754"/>
    </row>
    <row r="33" spans="1:19" ht="13.5" customHeight="1" thickBot="1">
      <c r="A33" s="328">
        <v>-1</v>
      </c>
      <c r="B33" s="9"/>
      <c r="C33" s="329"/>
      <c r="D33" s="330" t="s">
        <v>21</v>
      </c>
      <c r="E33" s="331" t="s">
        <v>21</v>
      </c>
      <c r="F33" s="331" t="s">
        <v>21</v>
      </c>
      <c r="G33" s="332" t="s">
        <v>22</v>
      </c>
      <c r="H33" s="804" t="s">
        <v>21</v>
      </c>
      <c r="I33" s="77" t="s">
        <v>24</v>
      </c>
      <c r="J33" s="8" t="s">
        <v>21</v>
      </c>
      <c r="K33" s="6" t="s">
        <v>21</v>
      </c>
      <c r="L33" s="552" t="s">
        <v>29</v>
      </c>
      <c r="M33" s="305" t="s">
        <v>29</v>
      </c>
      <c r="N33" s="306" t="s">
        <v>29</v>
      </c>
      <c r="P33" s="297"/>
      <c r="S33" s="551"/>
    </row>
    <row r="34" spans="1:19">
      <c r="A34" s="333">
        <v>1</v>
      </c>
      <c r="B34" s="565" t="str">
        <f>IF('EZ ECell'!C2="","",'EZ ECell'!C2)</f>
        <v/>
      </c>
      <c r="C34" s="566"/>
      <c r="D34" s="567" t="str">
        <f>IF('EZ ECell'!C12="","",SQRT('EZ ECell'!C12*43560))</f>
        <v/>
      </c>
      <c r="E34" s="568" t="str">
        <f>IF('EZ ECell'!C$12="","",SQRT('EZ ECell'!C$12*43560))</f>
        <v/>
      </c>
      <c r="F34" s="569">
        <f>'EZ ECell'!C$13</f>
        <v>0</v>
      </c>
      <c r="G34" s="566">
        <v>2</v>
      </c>
      <c r="H34" s="570">
        <v>0</v>
      </c>
      <c r="I34" s="585">
        <v>0.02</v>
      </c>
      <c r="J34" s="582">
        <v>20</v>
      </c>
      <c r="K34" s="586">
        <f t="shared" ref="K34:K39" si="1">F34</f>
        <v>0</v>
      </c>
      <c r="L34" s="604">
        <v>1</v>
      </c>
      <c r="M34" s="605" t="s">
        <v>30</v>
      </c>
      <c r="N34" s="602" t="b">
        <f>IF('EZ ECell'!$C$8="Small Fleet","D7R",IF('EZ ECell'!$C$8="Large Fleet","D10R"))</f>
        <v>0</v>
      </c>
    </row>
    <row r="35" spans="1:19">
      <c r="A35" s="34">
        <f t="shared" ref="A35:A40" si="2">A34+1</f>
        <v>2</v>
      </c>
      <c r="B35" s="625" t="str">
        <f>IF('EZ ECell'!D2="","",'EZ ECell'!D2)</f>
        <v/>
      </c>
      <c r="C35" s="571"/>
      <c r="D35" s="572" t="str">
        <f>IF('EZ ECell'!D$12="","",SQRT('EZ ECell'!D$12*43560))</f>
        <v/>
      </c>
      <c r="E35" s="572" t="str">
        <f>IF('EZ ECell'!D$12="","",SQRT('EZ ECell'!D$12*43560))</f>
        <v/>
      </c>
      <c r="F35" s="573">
        <f>'EZ ECell'!D$13</f>
        <v>0</v>
      </c>
      <c r="G35" s="574">
        <f>G34</f>
        <v>2</v>
      </c>
      <c r="H35" s="575">
        <v>0</v>
      </c>
      <c r="I35" s="585">
        <v>0.02</v>
      </c>
      <c r="J35" s="582">
        <v>20</v>
      </c>
      <c r="K35" s="586">
        <f t="shared" si="1"/>
        <v>0</v>
      </c>
      <c r="L35" s="604">
        <v>1</v>
      </c>
      <c r="M35" s="605" t="s">
        <v>30</v>
      </c>
      <c r="N35" s="606" t="b">
        <f>IF('EZ ECell'!$D$8="Small Fleet","D7R",IF('EZ ECell'!$D$8="Large Fleet","D10R"))</f>
        <v>0</v>
      </c>
      <c r="P35" s="481"/>
    </row>
    <row r="36" spans="1:19">
      <c r="A36" s="34">
        <f t="shared" si="2"/>
        <v>3</v>
      </c>
      <c r="B36" s="625" t="str">
        <f>IF('EZ ECell'!E2="","",'EZ ECell'!E2)</f>
        <v/>
      </c>
      <c r="C36" s="571"/>
      <c r="D36" s="577" t="str">
        <f>IF('EZ ECell'!E$12="","",SQRT('EZ ECell'!E$12*43560))</f>
        <v/>
      </c>
      <c r="E36" s="572" t="str">
        <f>IF('EZ ECell'!E$12="","",SQRT('EZ ECell'!E$12*43560))</f>
        <v/>
      </c>
      <c r="F36" s="578">
        <f>'EZ ECell'!E$13</f>
        <v>0</v>
      </c>
      <c r="G36" s="571">
        <f>G34</f>
        <v>2</v>
      </c>
      <c r="H36" s="575">
        <v>0</v>
      </c>
      <c r="I36" s="585">
        <v>0.02</v>
      </c>
      <c r="J36" s="582">
        <v>20</v>
      </c>
      <c r="K36" s="586">
        <f t="shared" si="1"/>
        <v>0</v>
      </c>
      <c r="L36" s="604">
        <v>1</v>
      </c>
      <c r="M36" s="605" t="s">
        <v>30</v>
      </c>
      <c r="N36" s="606" t="b">
        <f>IF('EZ ECell'!$E$8="Small Fleet","D7R",IF('EZ ECell'!$E$8="Large Fleet","D10R"))</f>
        <v>0</v>
      </c>
    </row>
    <row r="37" spans="1:19">
      <c r="A37" s="34">
        <f t="shared" si="2"/>
        <v>4</v>
      </c>
      <c r="B37" s="625" t="str">
        <f>IF('EZ ECell'!F2="","",'EZ ECell'!F2)</f>
        <v/>
      </c>
      <c r="C37" s="571"/>
      <c r="D37" s="577" t="str">
        <f>IF('EZ ECell'!F$12="","",SQRT('EZ ECell'!F$12*43560))</f>
        <v/>
      </c>
      <c r="E37" s="577" t="str">
        <f>IF('EZ ECell'!F$12="","",SQRT('EZ ECell'!F$12*43560))</f>
        <v/>
      </c>
      <c r="F37" s="578">
        <f>'EZ ECell'!F$13</f>
        <v>0</v>
      </c>
      <c r="G37" s="571">
        <f>G34</f>
        <v>2</v>
      </c>
      <c r="H37" s="575">
        <v>0</v>
      </c>
      <c r="I37" s="585">
        <v>0.02</v>
      </c>
      <c r="J37" s="582">
        <v>20</v>
      </c>
      <c r="K37" s="586">
        <f t="shared" si="1"/>
        <v>0</v>
      </c>
      <c r="L37" s="604">
        <v>1</v>
      </c>
      <c r="M37" s="605" t="s">
        <v>30</v>
      </c>
      <c r="N37" s="606" t="b">
        <f>IF('EZ ECell'!$F$8="Small Fleet","D7R",IF('EZ ECell'!$F$8="Large Fleet","D10R"))</f>
        <v>0</v>
      </c>
    </row>
    <row r="38" spans="1:19">
      <c r="A38" s="34">
        <f t="shared" si="2"/>
        <v>5</v>
      </c>
      <c r="B38" s="625" t="str">
        <f>IF('EZ ECell'!G$2="","",'EZ ECell'!G$2)</f>
        <v/>
      </c>
      <c r="C38" s="571"/>
      <c r="D38" s="577" t="str">
        <f>IF('EZ ECell'!G$12="","",SQRT('EZ ECell'!G$12*43560))</f>
        <v/>
      </c>
      <c r="E38" s="577" t="str">
        <f>IF('EZ ECell'!G$12="","",SQRT('EZ ECell'!G$12*43560))</f>
        <v/>
      </c>
      <c r="F38" s="578">
        <f>'EZ ECell'!G$13</f>
        <v>0</v>
      </c>
      <c r="G38" s="571">
        <f>G34</f>
        <v>2</v>
      </c>
      <c r="H38" s="575">
        <v>0</v>
      </c>
      <c r="I38" s="585">
        <v>0.02</v>
      </c>
      <c r="J38" s="582">
        <v>20</v>
      </c>
      <c r="K38" s="586">
        <f t="shared" si="1"/>
        <v>0</v>
      </c>
      <c r="L38" s="604">
        <v>1</v>
      </c>
      <c r="M38" s="605" t="s">
        <v>30</v>
      </c>
      <c r="N38" s="606" t="b">
        <f>IF('EZ ECell'!$G$8="Small Fleet","D7R",IF('EZ ECell'!$G$8="Large Fleet","D10R"))</f>
        <v>0</v>
      </c>
    </row>
    <row r="39" spans="1:19">
      <c r="A39" s="34">
        <f t="shared" si="2"/>
        <v>6</v>
      </c>
      <c r="B39" s="625" t="str">
        <f>IF('EZ ECell'!H$2="","",'EZ ECell'!H$2)</f>
        <v/>
      </c>
      <c r="C39" s="571"/>
      <c r="D39" s="577" t="str">
        <f>IF('EZ ECell'!H$12="","",SQRT('EZ ECell'!H$12*43560))</f>
        <v/>
      </c>
      <c r="E39" s="577" t="str">
        <f>IF('EZ ECell'!H$12="","",SQRT('EZ ECell'!H$12*43560))</f>
        <v/>
      </c>
      <c r="F39" s="578">
        <f>'EZ ECell'!H$13</f>
        <v>0</v>
      </c>
      <c r="G39" s="571">
        <f>G34</f>
        <v>2</v>
      </c>
      <c r="H39" s="575">
        <v>0</v>
      </c>
      <c r="I39" s="585">
        <v>0.02</v>
      </c>
      <c r="J39" s="582">
        <v>20</v>
      </c>
      <c r="K39" s="586">
        <f t="shared" si="1"/>
        <v>0</v>
      </c>
      <c r="L39" s="604">
        <v>1</v>
      </c>
      <c r="M39" s="605" t="s">
        <v>30</v>
      </c>
      <c r="N39" s="606" t="b">
        <f>IF('EZ ECell'!$H$8="Small Fleet","D7R",IF('EZ ECell'!$H$8="Large Fleet","D10R"))</f>
        <v>0</v>
      </c>
    </row>
    <row r="40" spans="1:19" hidden="1">
      <c r="A40" s="34">
        <f t="shared" si="2"/>
        <v>7</v>
      </c>
      <c r="B40" s="625"/>
      <c r="C40" s="571"/>
      <c r="D40" s="577"/>
      <c r="E40" s="577"/>
      <c r="F40" s="578"/>
      <c r="G40" s="571"/>
      <c r="H40" s="575"/>
      <c r="I40" s="585"/>
      <c r="J40" s="582"/>
      <c r="K40" s="586"/>
      <c r="L40" s="604"/>
      <c r="M40" s="605"/>
      <c r="N40" s="606"/>
    </row>
    <row r="41" spans="1:19" hidden="1">
      <c r="A41" s="34">
        <f t="shared" ref="A41:A43" si="3">A40+1</f>
        <v>8</v>
      </c>
      <c r="B41" s="625"/>
      <c r="C41" s="571"/>
      <c r="D41" s="577"/>
      <c r="E41" s="577"/>
      <c r="F41" s="578"/>
      <c r="G41" s="571"/>
      <c r="H41" s="575"/>
      <c r="I41" s="585"/>
      <c r="J41" s="582"/>
      <c r="K41" s="586"/>
      <c r="L41" s="604"/>
      <c r="M41" s="605"/>
      <c r="N41" s="606"/>
    </row>
    <row r="42" spans="1:19" hidden="1">
      <c r="A42" s="34">
        <f t="shared" si="3"/>
        <v>9</v>
      </c>
      <c r="B42" s="625"/>
      <c r="C42" s="571"/>
      <c r="D42" s="577"/>
      <c r="E42" s="577"/>
      <c r="F42" s="578"/>
      <c r="G42" s="571"/>
      <c r="H42" s="575"/>
      <c r="I42" s="585"/>
      <c r="J42" s="582"/>
      <c r="K42" s="586"/>
      <c r="L42" s="604"/>
      <c r="M42" s="605"/>
      <c r="N42" s="606"/>
    </row>
    <row r="43" spans="1:19" hidden="1">
      <c r="A43" s="34">
        <f t="shared" si="3"/>
        <v>10</v>
      </c>
      <c r="B43" s="625"/>
      <c r="C43" s="571"/>
      <c r="D43" s="577"/>
      <c r="E43" s="577"/>
      <c r="F43" s="578"/>
      <c r="G43" s="571"/>
      <c r="H43" s="575"/>
      <c r="I43" s="585"/>
      <c r="J43" s="582"/>
      <c r="K43" s="586"/>
      <c r="L43" s="604"/>
      <c r="M43" s="605"/>
      <c r="N43" s="606"/>
    </row>
    <row r="44" spans="1:19" ht="15.75" thickBot="1">
      <c r="A44" s="35"/>
      <c r="B44" s="79"/>
      <c r="C44" s="36"/>
      <c r="D44" s="79"/>
      <c r="E44" s="79"/>
      <c r="F44" s="79"/>
      <c r="G44" s="79"/>
      <c r="H44" s="79"/>
      <c r="I44" s="80"/>
      <c r="J44" s="80"/>
      <c r="K44" s="80"/>
      <c r="L44" s="93"/>
      <c r="M44" s="80"/>
      <c r="N44" s="82"/>
    </row>
    <row r="45" spans="1:19">
      <c r="A45" s="807" t="s">
        <v>600</v>
      </c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</row>
    <row r="46" spans="1:19">
      <c r="A46" s="9" t="s">
        <v>265</v>
      </c>
      <c r="B46" s="361"/>
      <c r="C46" s="40"/>
      <c r="D46" s="40"/>
      <c r="E46" s="40"/>
      <c r="F46" s="37"/>
      <c r="G46" s="37"/>
      <c r="H46" s="37"/>
      <c r="I46" s="37"/>
      <c r="J46" s="37"/>
      <c r="K46" s="37"/>
      <c r="L46" s="37"/>
      <c r="M46" s="37"/>
      <c r="N46" s="37"/>
    </row>
    <row r="47" spans="1:19">
      <c r="A47" s="38"/>
      <c r="B47" s="39" t="s">
        <v>229</v>
      </c>
      <c r="C47" s="40"/>
      <c r="D47" s="40"/>
      <c r="E47" s="40"/>
      <c r="F47" s="40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9">
      <c r="A48" s="38"/>
      <c r="B48" s="41"/>
      <c r="C48" s="42"/>
      <c r="D48" s="42"/>
      <c r="E48" s="42"/>
      <c r="F48" s="42"/>
      <c r="G48" s="43"/>
      <c r="H48" s="43"/>
      <c r="I48" s="43"/>
      <c r="J48" s="43"/>
      <c r="K48" s="43"/>
      <c r="L48" s="37"/>
      <c r="M48" s="37"/>
      <c r="N48" s="37"/>
      <c r="O48" s="37"/>
      <c r="P48" s="37"/>
      <c r="Q48" s="37"/>
      <c r="R48" s="37"/>
    </row>
    <row r="49" spans="1:18">
      <c r="A49" s="38"/>
      <c r="B49" s="41"/>
      <c r="C49" s="42"/>
      <c r="D49" s="42"/>
      <c r="E49" s="42"/>
      <c r="F49" s="42"/>
      <c r="G49" s="43"/>
      <c r="H49" s="43"/>
      <c r="I49" s="43"/>
      <c r="J49" s="43"/>
      <c r="K49" s="43"/>
      <c r="L49" s="37"/>
      <c r="M49" s="37"/>
      <c r="N49" s="37"/>
      <c r="O49" s="37"/>
      <c r="P49" s="37"/>
      <c r="Q49" s="37"/>
      <c r="R49" s="37"/>
    </row>
    <row r="50" spans="1:18">
      <c r="A50" s="38"/>
      <c r="B50" s="41"/>
      <c r="C50" s="42"/>
      <c r="D50" s="42"/>
      <c r="E50" s="42"/>
      <c r="F50" s="42"/>
      <c r="G50" s="43"/>
      <c r="H50" s="43"/>
      <c r="I50" s="43"/>
      <c r="J50" s="43"/>
      <c r="K50" s="43"/>
      <c r="L50" s="37"/>
      <c r="M50" s="37"/>
      <c r="N50" s="37"/>
      <c r="O50" s="37"/>
      <c r="P50" s="37"/>
      <c r="Q50" s="37"/>
      <c r="R50" s="37"/>
    </row>
    <row r="51" spans="1:18">
      <c r="A51" s="38"/>
      <c r="B51" s="41"/>
      <c r="C51" s="42"/>
      <c r="D51" s="42"/>
      <c r="E51" s="42"/>
      <c r="F51" s="42"/>
      <c r="G51" s="43"/>
      <c r="H51" s="43"/>
      <c r="I51" s="43"/>
      <c r="J51" s="43"/>
      <c r="K51" s="43"/>
      <c r="L51" s="37"/>
      <c r="M51" s="37"/>
      <c r="N51" s="37"/>
      <c r="O51" s="37"/>
      <c r="P51" s="37"/>
      <c r="Q51" s="37"/>
      <c r="R51" s="37"/>
    </row>
    <row r="52" spans="1:18">
      <c r="A52" s="38"/>
      <c r="B52" s="803"/>
      <c r="C52" s="307"/>
      <c r="D52" s="307"/>
      <c r="E52" s="307"/>
      <c r="F52" s="307"/>
      <c r="G52" s="45"/>
      <c r="H52" s="45"/>
      <c r="I52" s="45"/>
      <c r="J52" s="45"/>
      <c r="K52" s="45"/>
      <c r="L52" s="37"/>
      <c r="M52" s="37"/>
      <c r="N52" s="37"/>
      <c r="O52" s="37"/>
      <c r="P52" s="37"/>
      <c r="Q52" s="37"/>
      <c r="R52" s="37"/>
    </row>
    <row r="53" spans="1:18" ht="15.75" thickBot="1">
      <c r="A53" s="38"/>
      <c r="B53" s="803"/>
      <c r="C53" s="307"/>
      <c r="D53" s="307"/>
      <c r="E53" s="307"/>
      <c r="F53" s="307"/>
      <c r="G53" s="45"/>
      <c r="H53" s="45"/>
      <c r="I53" s="45"/>
      <c r="J53" s="45"/>
      <c r="K53" s="45"/>
      <c r="L53" s="37"/>
      <c r="M53" s="37"/>
      <c r="N53" s="37"/>
      <c r="O53" s="37"/>
      <c r="P53" s="37"/>
      <c r="Q53" s="37"/>
      <c r="R53" s="37"/>
    </row>
    <row r="54" spans="1:18" ht="18.75" thickBot="1">
      <c r="A54" s="798" t="s">
        <v>49</v>
      </c>
      <c r="B54" s="10"/>
      <c r="C54" s="11"/>
      <c r="D54" s="11"/>
      <c r="E54" s="23" t="s">
        <v>17</v>
      </c>
      <c r="F54" s="11"/>
      <c r="G54" s="11"/>
      <c r="H54" s="24"/>
      <c r="I54" s="24"/>
      <c r="J54" s="24"/>
      <c r="K54" s="24"/>
      <c r="L54" s="25"/>
      <c r="M54" s="13"/>
      <c r="N54" s="13"/>
      <c r="O54" s="13"/>
      <c r="P54" s="37"/>
      <c r="Q54" s="37"/>
      <c r="R54" s="37"/>
    </row>
    <row r="55" spans="1:18" ht="19.5" thickBot="1">
      <c r="A55" s="29"/>
      <c r="B55" s="31"/>
      <c r="C55" s="1098" t="s">
        <v>566</v>
      </c>
      <c r="D55" s="1099"/>
      <c r="E55" s="1099"/>
      <c r="F55" s="1099"/>
      <c r="G55" s="1099"/>
      <c r="H55" s="1099"/>
      <c r="I55" s="1099"/>
      <c r="J55" s="1099"/>
      <c r="K55" s="1099"/>
      <c r="L55" s="1100"/>
      <c r="M55" s="808"/>
      <c r="N55" s="808"/>
      <c r="O55" s="37"/>
      <c r="P55" s="37"/>
      <c r="Q55" s="37"/>
      <c r="R55" s="37"/>
    </row>
    <row r="56" spans="1:18" ht="43.5" customHeight="1">
      <c r="A56" s="1101" t="s">
        <v>184</v>
      </c>
      <c r="B56" s="1102"/>
      <c r="C56" s="1011" t="s">
        <v>224</v>
      </c>
      <c r="D56" s="1020" t="s">
        <v>565</v>
      </c>
      <c r="E56" s="1021" t="s">
        <v>256</v>
      </c>
      <c r="F56" s="1021" t="s">
        <v>397</v>
      </c>
      <c r="G56" s="1021" t="s">
        <v>27</v>
      </c>
      <c r="H56" s="1022" t="s">
        <v>601</v>
      </c>
      <c r="I56" s="1023" t="s">
        <v>125</v>
      </c>
      <c r="J56" s="1024" t="s">
        <v>553</v>
      </c>
      <c r="K56" s="1011" t="s">
        <v>409</v>
      </c>
      <c r="L56" s="1025" t="s">
        <v>630</v>
      </c>
      <c r="O56" s="37"/>
      <c r="P56" s="37"/>
      <c r="Q56" s="37"/>
      <c r="R56" s="37"/>
    </row>
    <row r="57" spans="1:18" ht="15.75" thickBot="1">
      <c r="A57" s="20"/>
      <c r="B57" s="46"/>
      <c r="C57" s="5" t="s">
        <v>29</v>
      </c>
      <c r="D57" s="812" t="s">
        <v>29</v>
      </c>
      <c r="E57" s="817" t="s">
        <v>21</v>
      </c>
      <c r="F57" s="817" t="s">
        <v>24</v>
      </c>
      <c r="G57" s="817" t="s">
        <v>29</v>
      </c>
      <c r="H57" s="850"/>
      <c r="I57" s="818" t="s">
        <v>29</v>
      </c>
      <c r="J57" s="815"/>
      <c r="K57" s="5" t="s">
        <v>29</v>
      </c>
      <c r="L57" s="8" t="s">
        <v>554</v>
      </c>
      <c r="O57" s="37"/>
      <c r="P57" s="37"/>
      <c r="Q57" s="37"/>
      <c r="R57" s="37"/>
    </row>
    <row r="58" spans="1:18">
      <c r="A58" s="34">
        <f>A34</f>
        <v>1</v>
      </c>
      <c r="B58" s="558" t="str">
        <f>B34</f>
        <v/>
      </c>
      <c r="C58" s="805" t="s">
        <v>30</v>
      </c>
      <c r="D58" s="813">
        <v>1</v>
      </c>
      <c r="E58" s="819">
        <f>'EZ ECell'!C$16</f>
        <v>0</v>
      </c>
      <c r="F58" s="820">
        <f>'EZ ECell'!$C$15</f>
        <v>0</v>
      </c>
      <c r="G58" s="821" t="b">
        <f>IF('EZ ECell'!$C$8="Small Fleet","769D 988G D7R",IF('EZ ECell'!$C$8="Large Fleet","777D 992G D7R"))</f>
        <v>0</v>
      </c>
      <c r="H58" s="849"/>
      <c r="I58" s="822">
        <v>1</v>
      </c>
      <c r="J58" s="816" t="s">
        <v>266</v>
      </c>
      <c r="K58" s="806" t="b">
        <f>IF('EZ ECell'!$C$8="Small Fleet","988G",IF('EZ ECell'!$C$8="Large Fleet","992G"))</f>
        <v>0</v>
      </c>
      <c r="L58" s="811">
        <v>0.55000000000000004</v>
      </c>
      <c r="O58" s="37"/>
      <c r="P58" s="37"/>
      <c r="Q58" s="37"/>
      <c r="R58" s="37"/>
    </row>
    <row r="59" spans="1:18">
      <c r="A59" s="34">
        <f t="shared" ref="A59:B67" si="4">A35</f>
        <v>2</v>
      </c>
      <c r="B59" s="558" t="str">
        <f t="shared" si="4"/>
        <v/>
      </c>
      <c r="C59" s="596" t="s">
        <v>30</v>
      </c>
      <c r="D59" s="814">
        <v>1</v>
      </c>
      <c r="E59" s="823">
        <f>'EZ ECell'!D$16</f>
        <v>0</v>
      </c>
      <c r="F59" s="824">
        <f>'EZ ECell'!$D$15</f>
        <v>0</v>
      </c>
      <c r="G59" s="825" t="b">
        <f>IF('EZ ECell'!$D$8="Small Fleet","769D 988G D7R",IF('EZ ECell'!$D$8="Large Fleet","777D 992G D7R"))</f>
        <v>0</v>
      </c>
      <c r="H59" s="845"/>
      <c r="I59" s="822">
        <v>1</v>
      </c>
      <c r="J59" s="816" t="s">
        <v>266</v>
      </c>
      <c r="K59" s="597" t="b">
        <f>IF('EZ ECell'!$D$8="Small Fleet","988G",IF('EZ ECell'!$D$8="Large Fleet","992G"))</f>
        <v>0</v>
      </c>
      <c r="L59" s="587">
        <v>0.55000000000000004</v>
      </c>
      <c r="O59" s="37"/>
      <c r="P59" s="37"/>
      <c r="Q59" s="37"/>
      <c r="R59" s="37"/>
    </row>
    <row r="60" spans="1:18">
      <c r="A60" s="34">
        <f t="shared" si="4"/>
        <v>3</v>
      </c>
      <c r="B60" s="558" t="str">
        <f t="shared" si="4"/>
        <v/>
      </c>
      <c r="C60" s="596" t="s">
        <v>30</v>
      </c>
      <c r="D60" s="814">
        <v>1</v>
      </c>
      <c r="E60" s="819">
        <f>'EZ ECell'!E$16</f>
        <v>0</v>
      </c>
      <c r="F60" s="824">
        <f>'EZ ECell'!$E$15</f>
        <v>0</v>
      </c>
      <c r="G60" s="825" t="b">
        <f>IF('EZ ECell'!$E$8="Small Fleet","769D 988G D7R",IF('EZ ECell'!$E$8="Large Fleet","777D 992G D7R"))</f>
        <v>0</v>
      </c>
      <c r="H60" s="845"/>
      <c r="I60" s="822">
        <v>1</v>
      </c>
      <c r="J60" s="816" t="s">
        <v>266</v>
      </c>
      <c r="K60" s="597" t="b">
        <f>IF('EZ ECell'!$E$8="Small Fleet","988G",IF('EZ ECell'!$E$8="Large Fleet","992G"))</f>
        <v>0</v>
      </c>
      <c r="L60" s="587">
        <v>0.55000000000000004</v>
      </c>
      <c r="O60" s="37"/>
      <c r="P60" s="37"/>
      <c r="Q60" s="37"/>
      <c r="R60" s="37"/>
    </row>
    <row r="61" spans="1:18">
      <c r="A61" s="34">
        <f t="shared" si="4"/>
        <v>4</v>
      </c>
      <c r="B61" s="558" t="str">
        <f t="shared" si="4"/>
        <v/>
      </c>
      <c r="C61" s="596" t="s">
        <v>30</v>
      </c>
      <c r="D61" s="814">
        <v>1</v>
      </c>
      <c r="E61" s="819">
        <f>'EZ ECell'!F$16</f>
        <v>0</v>
      </c>
      <c r="F61" s="824">
        <f>'EZ ECell'!$F$15</f>
        <v>0</v>
      </c>
      <c r="G61" s="825" t="b">
        <f>IF('EZ ECell'!$F$8="Small Fleet","769D 988G D7R",IF('EZ ECell'!$F$8="Large Fleet","777D 992G D7R"))</f>
        <v>0</v>
      </c>
      <c r="H61" s="845"/>
      <c r="I61" s="822">
        <v>1</v>
      </c>
      <c r="J61" s="816" t="s">
        <v>266</v>
      </c>
      <c r="K61" s="597" t="b">
        <f>IF('EZ ECell'!$F$8="Small Fleet","988G",IF('EZ ECell'!$F$8="Large Fleet","992G"))</f>
        <v>0</v>
      </c>
      <c r="L61" s="587">
        <v>0.55000000000000004</v>
      </c>
      <c r="O61" s="37"/>
      <c r="P61" s="37"/>
      <c r="Q61" s="37"/>
      <c r="R61" s="37"/>
    </row>
    <row r="62" spans="1:18">
      <c r="A62" s="34">
        <f t="shared" si="4"/>
        <v>5</v>
      </c>
      <c r="B62" s="558" t="str">
        <f t="shared" si="4"/>
        <v/>
      </c>
      <c r="C62" s="596" t="s">
        <v>30</v>
      </c>
      <c r="D62" s="814">
        <v>1</v>
      </c>
      <c r="E62" s="819">
        <f>'EZ ECell'!G$16</f>
        <v>0</v>
      </c>
      <c r="F62" s="824">
        <f>'EZ ECell'!$G$15</f>
        <v>0</v>
      </c>
      <c r="G62" s="825" t="b">
        <f>IF('EZ ECell'!$G$8="Small Fleet","769D 988G D7R",IF('EZ ECell'!$G$8="Large Fleet","777D 992G D7R"))</f>
        <v>0</v>
      </c>
      <c r="H62" s="845"/>
      <c r="I62" s="822">
        <v>1</v>
      </c>
      <c r="J62" s="816" t="s">
        <v>266</v>
      </c>
      <c r="K62" s="597" t="b">
        <f>IF('EZ ECell'!$G$8="Small Fleet","988G",IF('EZ ECell'!$G$8="Large Fleet","992G"))</f>
        <v>0</v>
      </c>
      <c r="L62" s="587">
        <v>0.55000000000000004</v>
      </c>
      <c r="O62" s="37"/>
      <c r="P62" s="37"/>
      <c r="Q62" s="37"/>
      <c r="R62" s="37"/>
    </row>
    <row r="63" spans="1:18">
      <c r="A63" s="34">
        <f t="shared" si="4"/>
        <v>6</v>
      </c>
      <c r="B63" s="558" t="str">
        <f t="shared" si="4"/>
        <v/>
      </c>
      <c r="C63" s="596" t="s">
        <v>30</v>
      </c>
      <c r="D63" s="814">
        <v>1</v>
      </c>
      <c r="E63" s="819">
        <f>'EZ ECell'!H$16</f>
        <v>0</v>
      </c>
      <c r="F63" s="824">
        <f>'EZ ECell'!$H$15</f>
        <v>0</v>
      </c>
      <c r="G63" s="825" t="b">
        <f>IF('EZ ECell'!$H$8="Small Fleet","769D 988G D7R",IF('EZ ECell'!$H$8="Large Fleet","777D 992G D7R"))</f>
        <v>0</v>
      </c>
      <c r="H63" s="845"/>
      <c r="I63" s="822">
        <v>1</v>
      </c>
      <c r="J63" s="816" t="s">
        <v>266</v>
      </c>
      <c r="K63" s="597" t="b">
        <f>IF('EZ ECell'!$H$8="Small Fleet","988G",IF('EZ ECell'!$H$8="Large Fleet","992G"))</f>
        <v>0</v>
      </c>
      <c r="L63" s="587">
        <v>0.55000000000000004</v>
      </c>
      <c r="O63" s="37"/>
      <c r="P63" s="37"/>
      <c r="Q63" s="37"/>
      <c r="R63" s="37"/>
    </row>
    <row r="64" spans="1:18" hidden="1">
      <c r="A64" s="34">
        <f t="shared" si="4"/>
        <v>7</v>
      </c>
      <c r="B64" s="558">
        <f t="shared" si="4"/>
        <v>0</v>
      </c>
      <c r="C64" s="596"/>
      <c r="D64" s="814"/>
      <c r="E64" s="819"/>
      <c r="F64" s="824"/>
      <c r="G64" s="825"/>
      <c r="H64" s="845"/>
      <c r="I64" s="822"/>
      <c r="J64" s="816"/>
      <c r="K64" s="597"/>
      <c r="L64" s="587"/>
      <c r="O64" s="37"/>
      <c r="P64" s="37"/>
      <c r="Q64" s="37"/>
      <c r="R64" s="37"/>
    </row>
    <row r="65" spans="1:18" hidden="1">
      <c r="A65" s="34">
        <f t="shared" si="4"/>
        <v>8</v>
      </c>
      <c r="B65" s="558">
        <f t="shared" si="4"/>
        <v>0</v>
      </c>
      <c r="C65" s="596"/>
      <c r="D65" s="814"/>
      <c r="E65" s="819"/>
      <c r="F65" s="824"/>
      <c r="G65" s="825" t="s">
        <v>375</v>
      </c>
      <c r="H65" s="845"/>
      <c r="I65" s="822"/>
      <c r="J65" s="816"/>
      <c r="K65" s="597"/>
      <c r="L65" s="587"/>
      <c r="O65" s="37"/>
      <c r="P65" s="37"/>
      <c r="Q65" s="37"/>
      <c r="R65" s="37"/>
    </row>
    <row r="66" spans="1:18" hidden="1">
      <c r="A66" s="34">
        <f t="shared" si="4"/>
        <v>9</v>
      </c>
      <c r="B66" s="558">
        <f t="shared" si="4"/>
        <v>0</v>
      </c>
      <c r="C66" s="596"/>
      <c r="D66" s="814"/>
      <c r="E66" s="819"/>
      <c r="F66" s="824"/>
      <c r="G66" s="825"/>
      <c r="H66" s="845"/>
      <c r="I66" s="822"/>
      <c r="J66" s="816"/>
      <c r="K66" s="597"/>
      <c r="L66" s="587"/>
      <c r="O66" s="37"/>
      <c r="P66" s="37"/>
      <c r="Q66" s="37"/>
      <c r="R66" s="37"/>
    </row>
    <row r="67" spans="1:18" hidden="1">
      <c r="A67" s="34">
        <f t="shared" si="4"/>
        <v>10</v>
      </c>
      <c r="B67" s="558">
        <f t="shared" si="4"/>
        <v>0</v>
      </c>
      <c r="C67" s="596"/>
      <c r="D67" s="814"/>
      <c r="E67" s="819"/>
      <c r="F67" s="824"/>
      <c r="G67" s="825"/>
      <c r="H67" s="845"/>
      <c r="I67" s="822"/>
      <c r="J67" s="816"/>
      <c r="K67" s="597"/>
      <c r="L67" s="587"/>
      <c r="N67" s="97"/>
      <c r="O67" s="37"/>
      <c r="P67" s="37"/>
      <c r="Q67" s="37"/>
      <c r="R67" s="37"/>
    </row>
    <row r="68" spans="1:18" ht="15.75" thickBot="1">
      <c r="A68" s="35"/>
      <c r="B68" s="78" t="s">
        <v>1</v>
      </c>
      <c r="C68" s="93"/>
      <c r="D68" s="79"/>
      <c r="E68" s="80"/>
      <c r="F68" s="80"/>
      <c r="G68" s="80"/>
      <c r="H68" s="80"/>
      <c r="I68" s="93"/>
      <c r="J68" s="80"/>
      <c r="K68" s="79"/>
      <c r="L68" s="261"/>
      <c r="N68" s="97"/>
      <c r="O68" s="37"/>
      <c r="P68" s="37"/>
      <c r="Q68" s="37"/>
      <c r="R68" s="37"/>
    </row>
    <row r="69" spans="1:18">
      <c r="A69" s="9"/>
      <c r="B69" s="9"/>
      <c r="C69" s="97"/>
      <c r="D69" s="44"/>
      <c r="E69" s="44"/>
      <c r="F69" s="97"/>
      <c r="G69" s="97"/>
      <c r="H69" s="97"/>
      <c r="I69" s="97"/>
      <c r="J69" s="97"/>
      <c r="K69" s="97"/>
      <c r="L69" s="97"/>
      <c r="M69" s="97"/>
      <c r="N69" s="97"/>
      <c r="O69" s="37"/>
      <c r="P69" s="37"/>
      <c r="Q69" s="37"/>
      <c r="R69" s="37"/>
    </row>
    <row r="70" spans="1:18">
      <c r="A70" s="9"/>
      <c r="B70" s="39" t="s">
        <v>229</v>
      </c>
      <c r="C70" s="40"/>
      <c r="D70" s="40"/>
      <c r="E70" s="40"/>
      <c r="F70" s="40"/>
      <c r="G70" s="37"/>
      <c r="H70" s="37"/>
      <c r="I70" s="37"/>
      <c r="J70" s="37"/>
      <c r="K70" s="37"/>
      <c r="L70" s="97"/>
      <c r="M70" s="97"/>
      <c r="N70" s="97"/>
      <c r="O70" s="37"/>
      <c r="P70" s="37"/>
      <c r="Q70" s="37"/>
      <c r="R70" s="37"/>
    </row>
    <row r="71" spans="1:18">
      <c r="A71" s="9"/>
      <c r="B71" s="41"/>
      <c r="C71" s="42"/>
      <c r="D71" s="42"/>
      <c r="E71" s="42"/>
      <c r="F71" s="42"/>
      <c r="G71" s="43"/>
      <c r="H71" s="43"/>
      <c r="I71" s="43"/>
      <c r="J71" s="43"/>
      <c r="K71" s="43"/>
      <c r="L71" s="97"/>
      <c r="M71" s="97"/>
      <c r="N71" s="97"/>
      <c r="O71" s="37"/>
      <c r="P71" s="37"/>
      <c r="Q71" s="37"/>
      <c r="R71" s="37"/>
    </row>
    <row r="72" spans="1:18">
      <c r="A72" s="9"/>
      <c r="B72" s="41"/>
      <c r="C72" s="42"/>
      <c r="D72" s="42"/>
      <c r="E72" s="42"/>
      <c r="F72" s="42"/>
      <c r="G72" s="43"/>
      <c r="H72" s="43"/>
      <c r="I72" s="43"/>
      <c r="J72" s="43"/>
      <c r="K72" s="43"/>
      <c r="L72" s="97"/>
      <c r="M72" s="97"/>
      <c r="N72" s="97"/>
      <c r="O72" s="37"/>
      <c r="P72" s="37"/>
      <c r="Q72" s="37"/>
      <c r="R72" s="37"/>
    </row>
    <row r="73" spans="1:18">
      <c r="A73" s="9"/>
      <c r="B73" s="41"/>
      <c r="C73" s="42"/>
      <c r="D73" s="42"/>
      <c r="E73" s="42"/>
      <c r="F73" s="42"/>
      <c r="G73" s="43"/>
      <c r="H73" s="43"/>
      <c r="I73" s="43"/>
      <c r="J73" s="43"/>
      <c r="K73" s="43"/>
      <c r="L73" s="97"/>
      <c r="M73" s="97"/>
      <c r="N73" s="97"/>
      <c r="O73" s="37"/>
      <c r="P73" s="37"/>
      <c r="Q73" s="37"/>
      <c r="R73" s="37"/>
    </row>
    <row r="74" spans="1:18">
      <c r="A74" s="9"/>
      <c r="B74" s="41"/>
      <c r="C74" s="42"/>
      <c r="D74" s="42"/>
      <c r="E74" s="42"/>
      <c r="F74" s="42"/>
      <c r="G74" s="43"/>
      <c r="H74" s="43"/>
      <c r="I74" s="43"/>
      <c r="J74" s="43"/>
      <c r="K74" s="43"/>
      <c r="L74" s="97"/>
      <c r="M74" s="97"/>
      <c r="N74" s="97"/>
      <c r="O74" s="37"/>
      <c r="P74" s="37"/>
      <c r="Q74" s="37"/>
      <c r="R74" s="37"/>
    </row>
    <row r="75" spans="1:18" ht="15.75" thickBot="1">
      <c r="A75" s="38"/>
      <c r="B75" s="44"/>
      <c r="C75" s="307"/>
      <c r="D75" s="307"/>
      <c r="E75" s="307"/>
      <c r="F75" s="307"/>
      <c r="G75" s="45"/>
      <c r="H75" s="45"/>
      <c r="I75" s="45"/>
      <c r="J75" s="45"/>
      <c r="K75" s="45"/>
      <c r="L75" s="37"/>
      <c r="M75" s="37"/>
      <c r="N75" s="37"/>
      <c r="O75" s="37"/>
      <c r="P75" s="37"/>
      <c r="Q75" s="37"/>
      <c r="R75" s="37"/>
    </row>
    <row r="76" spans="1:18" ht="18.75" thickBot="1">
      <c r="A76" s="1117" t="s">
        <v>300</v>
      </c>
      <c r="B76" s="1118"/>
      <c r="C76" s="1118"/>
      <c r="D76" s="1118"/>
      <c r="E76" s="1118"/>
      <c r="F76" s="1118"/>
      <c r="G76" s="1118"/>
      <c r="H76" s="1118"/>
      <c r="I76" s="1118"/>
      <c r="J76" s="1118"/>
      <c r="K76" s="1118"/>
      <c r="L76" s="1118"/>
      <c r="M76" s="1118"/>
      <c r="N76" s="1118"/>
      <c r="O76" s="1119"/>
      <c r="P76" s="37"/>
      <c r="Q76" s="37"/>
      <c r="R76" s="37"/>
    </row>
    <row r="77" spans="1:18" ht="16.5" thickBot="1">
      <c r="A77" s="29"/>
      <c r="B77" s="31"/>
      <c r="C77" s="1098" t="s">
        <v>230</v>
      </c>
      <c r="D77" s="1099"/>
      <c r="E77" s="1099"/>
      <c r="F77" s="1099"/>
      <c r="G77" s="1099"/>
      <c r="H77" s="1099"/>
      <c r="I77" s="1100"/>
      <c r="J77" s="854" t="s">
        <v>299</v>
      </c>
      <c r="K77" s="855"/>
      <c r="L77" s="855"/>
      <c r="M77" s="855"/>
      <c r="N77" s="855"/>
      <c r="O77" s="856"/>
      <c r="P77" s="37"/>
      <c r="Q77" s="37"/>
      <c r="R77" s="37"/>
    </row>
    <row r="78" spans="1:18" ht="57" customHeight="1">
      <c r="A78" s="1101" t="s">
        <v>184</v>
      </c>
      <c r="B78" s="1102"/>
      <c r="C78" s="1026" t="s">
        <v>149</v>
      </c>
      <c r="D78" s="1018" t="s">
        <v>231</v>
      </c>
      <c r="E78" s="1027" t="s">
        <v>232</v>
      </c>
      <c r="F78" s="1027" t="s">
        <v>243</v>
      </c>
      <c r="G78" s="1028" t="s">
        <v>408</v>
      </c>
      <c r="H78" s="138" t="s">
        <v>407</v>
      </c>
      <c r="I78" s="1029" t="s">
        <v>601</v>
      </c>
      <c r="J78" s="1018" t="s">
        <v>602</v>
      </c>
      <c r="K78" s="1030" t="s">
        <v>245</v>
      </c>
      <c r="L78" s="1031" t="s">
        <v>234</v>
      </c>
      <c r="M78" s="1030" t="s">
        <v>235</v>
      </c>
      <c r="N78" s="1015" t="s">
        <v>236</v>
      </c>
      <c r="O78" s="1032" t="s">
        <v>248</v>
      </c>
      <c r="P78" s="37"/>
      <c r="Q78" s="37"/>
      <c r="R78" s="37"/>
    </row>
    <row r="79" spans="1:18" ht="15.75" thickBot="1">
      <c r="A79" s="20"/>
      <c r="B79" s="46"/>
      <c r="C79" s="868" t="s">
        <v>23</v>
      </c>
      <c r="D79" s="111" t="s">
        <v>233</v>
      </c>
      <c r="E79" s="305" t="s">
        <v>21</v>
      </c>
      <c r="F79" s="812" t="s">
        <v>24</v>
      </c>
      <c r="G79" s="112" t="s">
        <v>29</v>
      </c>
      <c r="H79" s="305" t="s">
        <v>29</v>
      </c>
      <c r="I79" s="860"/>
      <c r="J79" s="858" t="s">
        <v>241</v>
      </c>
      <c r="K79" s="5" t="s">
        <v>29</v>
      </c>
      <c r="L79" s="7" t="s">
        <v>29</v>
      </c>
      <c r="M79" s="5" t="s">
        <v>29</v>
      </c>
      <c r="N79" s="8" t="s">
        <v>29</v>
      </c>
      <c r="O79" s="47" t="s">
        <v>29</v>
      </c>
      <c r="P79" s="37"/>
      <c r="Q79" s="37"/>
      <c r="R79" s="37"/>
    </row>
    <row r="80" spans="1:18">
      <c r="A80" s="34">
        <f t="shared" ref="A80:B85" si="5">A34</f>
        <v>1</v>
      </c>
      <c r="B80" s="558" t="str">
        <f t="shared" si="5"/>
        <v/>
      </c>
      <c r="C80" s="591"/>
      <c r="D80" s="864">
        <v>24</v>
      </c>
      <c r="E80" s="866">
        <f>'EZ ECell'!$C$16</f>
        <v>0</v>
      </c>
      <c r="F80" s="865">
        <f>'EZ ECell'!$C$15</f>
        <v>0</v>
      </c>
      <c r="G80" s="863" t="s">
        <v>30</v>
      </c>
      <c r="H80" s="857" t="b">
        <f>IF('EZ ECell'!$C$8="Small Fleet","769D 988G D7R",IF('EZ ECell'!$C$8="Large Fleet","777D 992G D7R"))</f>
        <v>0</v>
      </c>
      <c r="I80" s="861"/>
      <c r="J80" s="859" t="str">
        <f t="shared" ref="J80:J85" si="6">E34</f>
        <v/>
      </c>
      <c r="K80" s="598"/>
      <c r="L80" s="599" t="s">
        <v>293</v>
      </c>
      <c r="M80" s="600"/>
      <c r="N80" s="601"/>
      <c r="O80" s="602"/>
      <c r="P80" s="37"/>
      <c r="Q80" s="37"/>
      <c r="R80" s="37"/>
    </row>
    <row r="81" spans="1:18">
      <c r="A81" s="34">
        <f t="shared" si="5"/>
        <v>2</v>
      </c>
      <c r="B81" s="558" t="str">
        <f t="shared" si="5"/>
        <v/>
      </c>
      <c r="C81" s="592"/>
      <c r="D81" s="864">
        <v>24</v>
      </c>
      <c r="E81" s="867">
        <f>'EZ ECell'!$D$16</f>
        <v>0</v>
      </c>
      <c r="F81" s="865">
        <f>'EZ ECell'!$D$15</f>
        <v>0</v>
      </c>
      <c r="G81" s="863" t="s">
        <v>30</v>
      </c>
      <c r="H81" s="857" t="b">
        <f>IF('EZ ECell'!$D$8="Small Fleet","769D 988G D7R",IF('EZ ECell'!$D$8="Large Fleet","777D 992G D7R"))</f>
        <v>0</v>
      </c>
      <c r="I81" s="862"/>
      <c r="J81" s="859" t="str">
        <f t="shared" si="6"/>
        <v/>
      </c>
      <c r="K81" s="598"/>
      <c r="L81" s="599" t="s">
        <v>293</v>
      </c>
      <c r="M81" s="600"/>
      <c r="N81" s="601"/>
      <c r="O81" s="602"/>
      <c r="P81" s="37"/>
      <c r="Q81" s="37"/>
      <c r="R81" s="37"/>
    </row>
    <row r="82" spans="1:18">
      <c r="A82" s="34">
        <f t="shared" si="5"/>
        <v>3</v>
      </c>
      <c r="B82" s="558" t="str">
        <f t="shared" si="5"/>
        <v/>
      </c>
      <c r="C82" s="591"/>
      <c r="D82" s="864">
        <v>24</v>
      </c>
      <c r="E82" s="867">
        <f>'EZ ECell'!$E$16</f>
        <v>0</v>
      </c>
      <c r="F82" s="865">
        <f>'EZ ECell'!$E$15</f>
        <v>0</v>
      </c>
      <c r="G82" s="863" t="s">
        <v>30</v>
      </c>
      <c r="H82" s="857" t="b">
        <f>IF('EZ ECell'!$E$8="Small Fleet","769D 988G D7R",IF('EZ ECell'!$E$8="Large Fleet","777D 992G D7R"))</f>
        <v>0</v>
      </c>
      <c r="I82" s="861"/>
      <c r="J82" s="859" t="str">
        <f t="shared" si="6"/>
        <v/>
      </c>
      <c r="K82" s="598"/>
      <c r="L82" s="599" t="s">
        <v>293</v>
      </c>
      <c r="M82" s="600"/>
      <c r="N82" s="601"/>
      <c r="O82" s="602"/>
      <c r="P82" s="37"/>
      <c r="Q82" s="37"/>
      <c r="R82" s="37"/>
    </row>
    <row r="83" spans="1:18">
      <c r="A83" s="34">
        <f t="shared" si="5"/>
        <v>4</v>
      </c>
      <c r="B83" s="558" t="str">
        <f t="shared" si="5"/>
        <v/>
      </c>
      <c r="C83" s="591"/>
      <c r="D83" s="864">
        <v>24</v>
      </c>
      <c r="E83" s="867">
        <f>'EZ ECell'!$F$16</f>
        <v>0</v>
      </c>
      <c r="F83" s="865">
        <f>'EZ ECell'!$F$15</f>
        <v>0</v>
      </c>
      <c r="G83" s="863" t="s">
        <v>30</v>
      </c>
      <c r="H83" s="857" t="b">
        <f>IF('EZ ECell'!$F$8="Small Fleet","769D 988G D7R",IF('EZ ECell'!$F$8="Large Fleet","777D 992G D7R"))</f>
        <v>0</v>
      </c>
      <c r="I83" s="861"/>
      <c r="J83" s="859" t="str">
        <f t="shared" si="6"/>
        <v/>
      </c>
      <c r="K83" s="598"/>
      <c r="L83" s="599" t="s">
        <v>293</v>
      </c>
      <c r="M83" s="600"/>
      <c r="N83" s="601"/>
      <c r="O83" s="602"/>
      <c r="P83" s="37"/>
      <c r="Q83" s="37"/>
      <c r="R83" s="37"/>
    </row>
    <row r="84" spans="1:18">
      <c r="A84" s="34">
        <f t="shared" si="5"/>
        <v>5</v>
      </c>
      <c r="B84" s="558" t="str">
        <f t="shared" si="5"/>
        <v/>
      </c>
      <c r="C84" s="591"/>
      <c r="D84" s="864">
        <v>24</v>
      </c>
      <c r="E84" s="867">
        <f>'EZ ECell'!$G$16</f>
        <v>0</v>
      </c>
      <c r="F84" s="865">
        <f>'EZ ECell'!$G$15</f>
        <v>0</v>
      </c>
      <c r="G84" s="863" t="s">
        <v>30</v>
      </c>
      <c r="H84" s="857" t="b">
        <f>IF('EZ ECell'!$G$8="Small Fleet","769D 988G D7R",IF('EZ ECell'!$G$8="Large Fleet","777D 992G D7R"))</f>
        <v>0</v>
      </c>
      <c r="I84" s="861"/>
      <c r="J84" s="859" t="str">
        <f t="shared" si="6"/>
        <v/>
      </c>
      <c r="K84" s="598"/>
      <c r="L84" s="599" t="s">
        <v>293</v>
      </c>
      <c r="M84" s="600"/>
      <c r="N84" s="601"/>
      <c r="O84" s="602"/>
      <c r="P84" s="37"/>
      <c r="Q84" s="37"/>
      <c r="R84" s="37"/>
    </row>
    <row r="85" spans="1:18">
      <c r="A85" s="34">
        <f t="shared" si="5"/>
        <v>6</v>
      </c>
      <c r="B85" s="558" t="str">
        <f t="shared" si="5"/>
        <v/>
      </c>
      <c r="C85" s="591"/>
      <c r="D85" s="864">
        <v>24</v>
      </c>
      <c r="E85" s="867">
        <f>'EZ ECell'!$H$16</f>
        <v>0</v>
      </c>
      <c r="F85" s="865">
        <f>'EZ ECell'!$H$15</f>
        <v>0</v>
      </c>
      <c r="G85" s="863" t="s">
        <v>30</v>
      </c>
      <c r="H85" s="857" t="b">
        <f>IF('EZ ECell'!$H$8="Small Fleet","769D 988G D7R",IF('EZ ECell'!$H$8="Large Fleet","777D 992G D7R"))</f>
        <v>0</v>
      </c>
      <c r="I85" s="861"/>
      <c r="J85" s="859" t="str">
        <f t="shared" si="6"/>
        <v/>
      </c>
      <c r="K85" s="598"/>
      <c r="L85" s="599" t="s">
        <v>293</v>
      </c>
      <c r="M85" s="600"/>
      <c r="N85" s="601"/>
      <c r="O85" s="602"/>
      <c r="P85" s="37"/>
      <c r="Q85" s="37"/>
      <c r="R85" s="37"/>
    </row>
    <row r="86" spans="1:18" hidden="1">
      <c r="A86" s="34"/>
      <c r="B86" s="558"/>
      <c r="C86" s="591"/>
      <c r="D86" s="864"/>
      <c r="E86" s="867"/>
      <c r="F86" s="865"/>
      <c r="G86" s="863"/>
      <c r="H86" s="857"/>
      <c r="I86" s="861"/>
      <c r="J86" s="859"/>
      <c r="K86" s="598"/>
      <c r="L86" s="599"/>
      <c r="M86" s="600"/>
      <c r="N86" s="601"/>
      <c r="O86" s="602"/>
      <c r="P86" s="37"/>
      <c r="Q86" s="37"/>
      <c r="R86" s="37"/>
    </row>
    <row r="87" spans="1:18" hidden="1">
      <c r="A87" s="34"/>
      <c r="B87" s="558"/>
      <c r="C87" s="591"/>
      <c r="D87" s="864"/>
      <c r="E87" s="867"/>
      <c r="F87" s="865"/>
      <c r="G87" s="863"/>
      <c r="H87" s="857"/>
      <c r="I87" s="861"/>
      <c r="J87" s="859"/>
      <c r="K87" s="598"/>
      <c r="L87" s="599"/>
      <c r="M87" s="600"/>
      <c r="N87" s="601"/>
      <c r="O87" s="602"/>
      <c r="P87" s="37"/>
      <c r="Q87" s="37"/>
      <c r="R87" s="37"/>
    </row>
    <row r="88" spans="1:18" hidden="1">
      <c r="A88" s="34"/>
      <c r="B88" s="558"/>
      <c r="C88" s="591"/>
      <c r="D88" s="864"/>
      <c r="E88" s="867"/>
      <c r="F88" s="865"/>
      <c r="G88" s="863"/>
      <c r="H88" s="857"/>
      <c r="I88" s="861"/>
      <c r="J88" s="859"/>
      <c r="K88" s="598"/>
      <c r="L88" s="599"/>
      <c r="M88" s="600"/>
      <c r="N88" s="601"/>
      <c r="O88" s="602"/>
      <c r="P88" s="37"/>
      <c r="Q88" s="37"/>
      <c r="R88" s="37"/>
    </row>
    <row r="89" spans="1:18" hidden="1">
      <c r="A89" s="34"/>
      <c r="B89" s="558"/>
      <c r="C89" s="591"/>
      <c r="D89" s="864"/>
      <c r="E89" s="867"/>
      <c r="F89" s="865"/>
      <c r="G89" s="863"/>
      <c r="H89" s="857"/>
      <c r="I89" s="861"/>
      <c r="J89" s="859"/>
      <c r="K89" s="598"/>
      <c r="L89" s="599"/>
      <c r="M89" s="600"/>
      <c r="N89" s="601"/>
      <c r="O89" s="602"/>
      <c r="P89" s="37"/>
      <c r="Q89" s="37"/>
      <c r="R89" s="37"/>
    </row>
    <row r="90" spans="1:18" ht="15.75" thickBot="1">
      <c r="A90" s="35"/>
      <c r="B90" s="78" t="s">
        <v>1</v>
      </c>
      <c r="C90" s="79"/>
      <c r="D90" s="79"/>
      <c r="E90" s="79"/>
      <c r="F90" s="79"/>
      <c r="G90" s="799"/>
      <c r="H90" s="80"/>
      <c r="I90" s="79"/>
      <c r="J90" s="80"/>
      <c r="K90" s="80"/>
      <c r="L90" s="80"/>
      <c r="M90" s="80"/>
      <c r="N90" s="80"/>
      <c r="O90" s="82"/>
      <c r="P90" s="37"/>
      <c r="Q90" s="37"/>
      <c r="R90" s="37"/>
    </row>
    <row r="91" spans="1:18">
      <c r="A91" s="9"/>
      <c r="B91" s="9"/>
      <c r="C91" s="44"/>
      <c r="D91" s="44"/>
      <c r="E91" s="44"/>
      <c r="F91" s="44"/>
      <c r="G91" s="795"/>
      <c r="H91" s="97"/>
      <c r="I91" s="97"/>
      <c r="J91" s="97"/>
      <c r="K91" s="97"/>
      <c r="L91" s="97"/>
      <c r="M91" s="97"/>
      <c r="N91" s="97"/>
      <c r="O91" s="37"/>
      <c r="P91" s="37"/>
      <c r="Q91" s="37"/>
      <c r="R91" s="37"/>
    </row>
    <row r="92" spans="1:18">
      <c r="A92" s="9"/>
      <c r="B92" s="39" t="s">
        <v>229</v>
      </c>
      <c r="C92" s="40"/>
      <c r="D92" s="40"/>
      <c r="E92" s="40"/>
      <c r="F92" s="40"/>
      <c r="G92" s="37"/>
      <c r="H92" s="37"/>
      <c r="I92" s="37"/>
      <c r="J92" s="37"/>
      <c r="K92" s="37"/>
      <c r="L92" s="97"/>
      <c r="M92" s="97"/>
      <c r="N92" s="97"/>
      <c r="O92" s="37"/>
      <c r="P92" s="37"/>
      <c r="Q92" s="37"/>
      <c r="R92" s="37"/>
    </row>
    <row r="93" spans="1:18">
      <c r="A93" s="9"/>
      <c r="B93" s="41"/>
      <c r="C93" s="42"/>
      <c r="D93" s="42"/>
      <c r="E93" s="42"/>
      <c r="F93" s="42"/>
      <c r="G93" s="43"/>
      <c r="H93" s="43"/>
      <c r="I93" s="43"/>
      <c r="J93" s="43"/>
      <c r="K93" s="43"/>
      <c r="L93" s="97"/>
      <c r="M93" s="97"/>
      <c r="N93" s="97"/>
      <c r="O93" s="37"/>
      <c r="P93" s="37"/>
      <c r="Q93" s="37"/>
      <c r="R93" s="37"/>
    </row>
    <row r="94" spans="1:18">
      <c r="A94" s="9"/>
      <c r="B94" s="41"/>
      <c r="C94" s="42"/>
      <c r="D94" s="42"/>
      <c r="E94" s="42"/>
      <c r="F94" s="42"/>
      <c r="G94" s="43"/>
      <c r="H94" s="43"/>
      <c r="I94" s="43"/>
      <c r="J94" s="43"/>
      <c r="K94" s="43"/>
      <c r="L94" s="97"/>
      <c r="M94" s="97"/>
      <c r="N94" s="97"/>
      <c r="O94" s="37"/>
      <c r="P94" s="37"/>
      <c r="Q94" s="37"/>
      <c r="R94" s="37"/>
    </row>
    <row r="95" spans="1:18">
      <c r="A95" s="9"/>
      <c r="B95" s="41"/>
      <c r="C95" s="42"/>
      <c r="D95" s="42"/>
      <c r="E95" s="42"/>
      <c r="F95" s="42"/>
      <c r="G95" s="43"/>
      <c r="H95" s="43"/>
      <c r="I95" s="43"/>
      <c r="J95" s="43"/>
      <c r="K95" s="43"/>
      <c r="L95" s="97"/>
      <c r="M95" s="97"/>
      <c r="N95" s="97"/>
      <c r="O95" s="37"/>
      <c r="P95" s="37"/>
      <c r="Q95" s="37"/>
      <c r="R95" s="37"/>
    </row>
    <row r="96" spans="1:18">
      <c r="A96" s="9"/>
      <c r="B96" s="41"/>
      <c r="C96" s="42"/>
      <c r="D96" s="42"/>
      <c r="E96" s="42"/>
      <c r="F96" s="42"/>
      <c r="G96" s="43"/>
      <c r="H96" s="43"/>
      <c r="I96" s="43"/>
      <c r="J96" s="43"/>
      <c r="K96" s="43"/>
      <c r="L96" s="97"/>
      <c r="M96" s="97"/>
      <c r="N96" s="97"/>
      <c r="O96" s="37"/>
      <c r="P96" s="37"/>
      <c r="Q96" s="37"/>
      <c r="R96" s="37"/>
    </row>
    <row r="97" spans="1:19" ht="15.75" thickBot="1">
      <c r="A97" s="38"/>
      <c r="B97" s="44"/>
      <c r="C97" s="307"/>
      <c r="D97" s="307"/>
      <c r="E97" s="307"/>
      <c r="F97" s="307"/>
      <c r="G97" s="45"/>
      <c r="H97" s="45"/>
      <c r="I97" s="45"/>
      <c r="J97" s="45"/>
      <c r="K97" s="45"/>
      <c r="L97" s="37"/>
      <c r="M97" s="37"/>
      <c r="N97" s="37"/>
      <c r="O97" s="37"/>
      <c r="P97" s="37"/>
      <c r="Q97" s="37"/>
      <c r="R97" s="37"/>
    </row>
    <row r="98" spans="1:19" ht="18.75" thickBot="1">
      <c r="A98" s="83" t="s">
        <v>48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5"/>
      <c r="O98" s="324"/>
      <c r="S98" s="45"/>
    </row>
    <row r="99" spans="1:19" ht="16.5" thickBot="1">
      <c r="A99" s="29"/>
      <c r="B99" s="31"/>
      <c r="C99" s="892" t="s">
        <v>472</v>
      </c>
      <c r="D99" s="1161" t="s">
        <v>26</v>
      </c>
      <c r="E99" s="1162"/>
      <c r="F99" s="1163"/>
      <c r="G99" s="76" t="s">
        <v>54</v>
      </c>
      <c r="H99" s="29"/>
      <c r="I99" s="76"/>
      <c r="J99" s="1098" t="s">
        <v>257</v>
      </c>
      <c r="K99" s="1099"/>
      <c r="L99" s="1099"/>
      <c r="M99" s="1100"/>
      <c r="O99" s="808"/>
      <c r="S99" s="45"/>
    </row>
    <row r="100" spans="1:19" ht="43.5" customHeight="1">
      <c r="A100" s="1101" t="s">
        <v>184</v>
      </c>
      <c r="B100" s="1102"/>
      <c r="C100" s="1013" t="s">
        <v>632</v>
      </c>
      <c r="D100" s="1014" t="s">
        <v>648</v>
      </c>
      <c r="E100" s="1014" t="s">
        <v>649</v>
      </c>
      <c r="F100" s="1030" t="s">
        <v>70</v>
      </c>
      <c r="G100" s="1010" t="s">
        <v>77</v>
      </c>
      <c r="H100" s="1010" t="s">
        <v>603</v>
      </c>
      <c r="I100" s="1035" t="s">
        <v>111</v>
      </c>
      <c r="J100" s="1013" t="s">
        <v>258</v>
      </c>
      <c r="K100" s="1014" t="s">
        <v>259</v>
      </c>
      <c r="L100" s="1014" t="s">
        <v>150</v>
      </c>
      <c r="M100" s="1014" t="s">
        <v>260</v>
      </c>
      <c r="O100" s="32"/>
      <c r="S100" s="45"/>
    </row>
    <row r="101" spans="1:19" ht="15.75" thickBot="1">
      <c r="A101" s="20"/>
      <c r="B101" s="46"/>
      <c r="C101" s="852"/>
      <c r="D101" s="75" t="s">
        <v>42</v>
      </c>
      <c r="E101" s="75" t="s">
        <v>42</v>
      </c>
      <c r="F101" s="5" t="s">
        <v>29</v>
      </c>
      <c r="G101" s="7" t="s">
        <v>21</v>
      </c>
      <c r="H101" s="7" t="s">
        <v>24</v>
      </c>
      <c r="I101" s="47"/>
      <c r="J101" s="852"/>
      <c r="K101" s="77" t="s">
        <v>21</v>
      </c>
      <c r="L101" s="77" t="s">
        <v>24</v>
      </c>
      <c r="M101" s="77" t="s">
        <v>21</v>
      </c>
      <c r="O101" s="94"/>
      <c r="S101" s="45"/>
    </row>
    <row r="102" spans="1:19">
      <c r="A102" s="34">
        <f t="shared" ref="A102:B111" si="7">A34</f>
        <v>1</v>
      </c>
      <c r="B102" s="558" t="str">
        <f t="shared" si="7"/>
        <v/>
      </c>
      <c r="C102" s="603"/>
      <c r="D102" s="1051" t="s">
        <v>435</v>
      </c>
      <c r="E102" s="1051" t="s">
        <v>435</v>
      </c>
      <c r="F102" s="603">
        <f>'EZ ECell'!C$10</f>
        <v>0</v>
      </c>
      <c r="G102" s="579">
        <f>'EZ ECell'!$C$16</f>
        <v>0</v>
      </c>
      <c r="H102" s="584">
        <f>'EZ ECell'!$C$15</f>
        <v>0</v>
      </c>
      <c r="I102" s="582">
        <v>1</v>
      </c>
      <c r="J102" s="581"/>
      <c r="K102" s="582">
        <v>500</v>
      </c>
      <c r="L102" s="585">
        <v>0</v>
      </c>
      <c r="M102" s="801"/>
      <c r="O102" s="96"/>
      <c r="S102" s="45"/>
    </row>
    <row r="103" spans="1:19">
      <c r="A103" s="34">
        <f t="shared" si="7"/>
        <v>2</v>
      </c>
      <c r="B103" s="558" t="str">
        <f t="shared" si="7"/>
        <v/>
      </c>
      <c r="C103" s="603"/>
      <c r="D103" s="1051" t="str">
        <f>D102</f>
        <v xml:space="preserve">60 mil HDPE </v>
      </c>
      <c r="E103" s="603" t="str">
        <f>E102</f>
        <v xml:space="preserve">60 mil HDPE </v>
      </c>
      <c r="F103" s="603">
        <f>'EZ ECell'!D$10</f>
        <v>0</v>
      </c>
      <c r="G103" s="579">
        <f>'EZ ECell'!$D$16</f>
        <v>0</v>
      </c>
      <c r="H103" s="587">
        <f>'EZ ECell'!$D$15</f>
        <v>0</v>
      </c>
      <c r="I103" s="582">
        <v>1</v>
      </c>
      <c r="J103" s="571"/>
      <c r="K103" s="582">
        <v>500</v>
      </c>
      <c r="L103" s="585">
        <v>0</v>
      </c>
      <c r="M103" s="582"/>
      <c r="O103" s="96"/>
      <c r="S103" s="45"/>
    </row>
    <row r="104" spans="1:19">
      <c r="A104" s="34">
        <f t="shared" si="7"/>
        <v>3</v>
      </c>
      <c r="B104" s="558" t="str">
        <f t="shared" si="7"/>
        <v/>
      </c>
      <c r="C104" s="603"/>
      <c r="D104" s="1051" t="str">
        <f>D102</f>
        <v xml:space="preserve">60 mil HDPE </v>
      </c>
      <c r="E104" s="603" t="str">
        <f>E102</f>
        <v xml:space="preserve">60 mil HDPE </v>
      </c>
      <c r="F104" s="603">
        <f>'EZ ECell'!E$10</f>
        <v>0</v>
      </c>
      <c r="G104" s="579">
        <f>'EZ ECell'!$E$16</f>
        <v>0</v>
      </c>
      <c r="H104" s="587">
        <f>'EZ ECell'!$E$15</f>
        <v>0</v>
      </c>
      <c r="I104" s="582">
        <v>1</v>
      </c>
      <c r="J104" s="571"/>
      <c r="K104" s="582">
        <v>500</v>
      </c>
      <c r="L104" s="585">
        <v>0</v>
      </c>
      <c r="M104" s="582"/>
      <c r="O104" s="96"/>
      <c r="S104" s="45"/>
    </row>
    <row r="105" spans="1:19">
      <c r="A105" s="34">
        <f t="shared" si="7"/>
        <v>4</v>
      </c>
      <c r="B105" s="558" t="str">
        <f t="shared" si="7"/>
        <v/>
      </c>
      <c r="C105" s="603"/>
      <c r="D105" s="1051" t="str">
        <f>D102</f>
        <v xml:space="preserve">60 mil HDPE </v>
      </c>
      <c r="E105" s="603" t="str">
        <f>E102</f>
        <v xml:space="preserve">60 mil HDPE </v>
      </c>
      <c r="F105" s="603">
        <f>'EZ ECell'!F$10</f>
        <v>0</v>
      </c>
      <c r="G105" s="579">
        <f>'EZ ECell'!$F$16</f>
        <v>0</v>
      </c>
      <c r="H105" s="587">
        <f>'EZ ECell'!$F$15</f>
        <v>0</v>
      </c>
      <c r="I105" s="582">
        <v>1</v>
      </c>
      <c r="J105" s="571"/>
      <c r="K105" s="582">
        <v>500</v>
      </c>
      <c r="L105" s="585">
        <v>0</v>
      </c>
      <c r="M105" s="582"/>
      <c r="O105" s="96"/>
      <c r="S105" s="45"/>
    </row>
    <row r="106" spans="1:19">
      <c r="A106" s="34">
        <f t="shared" si="7"/>
        <v>5</v>
      </c>
      <c r="B106" s="558" t="str">
        <f t="shared" si="7"/>
        <v/>
      </c>
      <c r="C106" s="603"/>
      <c r="D106" s="1051" t="str">
        <f>D102</f>
        <v xml:space="preserve">60 mil HDPE </v>
      </c>
      <c r="E106" s="603" t="str">
        <f>E102</f>
        <v xml:space="preserve">60 mil HDPE </v>
      </c>
      <c r="F106" s="603">
        <f>'EZ ECell'!G$10</f>
        <v>0</v>
      </c>
      <c r="G106" s="579">
        <f>'EZ ECell'!$G$16</f>
        <v>0</v>
      </c>
      <c r="H106" s="576">
        <f>'EZ ECell'!$G$15</f>
        <v>0</v>
      </c>
      <c r="I106" s="582">
        <v>1</v>
      </c>
      <c r="J106" s="571"/>
      <c r="K106" s="582">
        <v>500</v>
      </c>
      <c r="L106" s="585">
        <v>0</v>
      </c>
      <c r="M106" s="582"/>
      <c r="O106" s="96"/>
      <c r="S106" s="45"/>
    </row>
    <row r="107" spans="1:19">
      <c r="A107" s="34">
        <f t="shared" si="7"/>
        <v>6</v>
      </c>
      <c r="B107" s="558" t="str">
        <f t="shared" si="7"/>
        <v/>
      </c>
      <c r="C107" s="603"/>
      <c r="D107" s="1051" t="str">
        <f>D102</f>
        <v xml:space="preserve">60 mil HDPE </v>
      </c>
      <c r="E107" s="603" t="str">
        <f>E102</f>
        <v xml:space="preserve">60 mil HDPE </v>
      </c>
      <c r="F107" s="603">
        <f>'EZ ECell'!H$10</f>
        <v>0</v>
      </c>
      <c r="G107" s="579">
        <f>'EZ ECell'!$H$16</f>
        <v>0</v>
      </c>
      <c r="H107" s="580">
        <f>'EZ ECell'!$H$15</f>
        <v>0</v>
      </c>
      <c r="I107" s="582">
        <v>1</v>
      </c>
      <c r="J107" s="571"/>
      <c r="K107" s="582">
        <v>500</v>
      </c>
      <c r="L107" s="585">
        <v>0</v>
      </c>
      <c r="M107" s="582"/>
      <c r="O107" s="96"/>
      <c r="S107" s="45"/>
    </row>
    <row r="108" spans="1:19" hidden="1">
      <c r="A108" s="34">
        <f t="shared" si="7"/>
        <v>7</v>
      </c>
      <c r="B108" s="558">
        <f t="shared" si="7"/>
        <v>0</v>
      </c>
      <c r="C108" s="571"/>
      <c r="D108" s="903"/>
      <c r="E108" s="903"/>
      <c r="F108" s="603"/>
      <c r="G108" s="583"/>
      <c r="H108" s="580"/>
      <c r="I108" s="582"/>
      <c r="J108" s="571"/>
      <c r="K108" s="582"/>
      <c r="L108" s="585"/>
      <c r="M108" s="582"/>
      <c r="O108" s="96"/>
      <c r="S108" s="45"/>
    </row>
    <row r="109" spans="1:19" hidden="1">
      <c r="A109" s="34">
        <f t="shared" si="7"/>
        <v>8</v>
      </c>
      <c r="B109" s="558">
        <f t="shared" si="7"/>
        <v>0</v>
      </c>
      <c r="C109" s="571"/>
      <c r="D109" s="903"/>
      <c r="E109" s="903"/>
      <c r="F109" s="603"/>
      <c r="G109" s="583"/>
      <c r="H109" s="580"/>
      <c r="I109" s="582"/>
      <c r="J109" s="571"/>
      <c r="K109" s="582"/>
      <c r="L109" s="585"/>
      <c r="M109" s="582"/>
      <c r="O109" s="96"/>
      <c r="S109" s="45"/>
    </row>
    <row r="110" spans="1:19" hidden="1">
      <c r="A110" s="34">
        <f t="shared" si="7"/>
        <v>9</v>
      </c>
      <c r="B110" s="558">
        <f t="shared" si="7"/>
        <v>0</v>
      </c>
      <c r="C110" s="571"/>
      <c r="D110" s="903"/>
      <c r="E110" s="903"/>
      <c r="F110" s="603"/>
      <c r="G110" s="583"/>
      <c r="H110" s="580"/>
      <c r="I110" s="582"/>
      <c r="J110" s="571"/>
      <c r="K110" s="582"/>
      <c r="L110" s="585"/>
      <c r="M110" s="582"/>
      <c r="O110" s="96"/>
      <c r="S110" s="45"/>
    </row>
    <row r="111" spans="1:19" ht="15.75" hidden="1" thickBot="1">
      <c r="A111" s="34">
        <f t="shared" si="7"/>
        <v>10</v>
      </c>
      <c r="B111" s="558">
        <f t="shared" si="7"/>
        <v>0</v>
      </c>
      <c r="C111" s="571"/>
      <c r="D111" s="903"/>
      <c r="E111" s="903"/>
      <c r="F111" s="603"/>
      <c r="G111" s="583"/>
      <c r="H111" s="580"/>
      <c r="I111" s="582"/>
      <c r="J111" s="571"/>
      <c r="K111" s="582"/>
      <c r="L111" s="585"/>
      <c r="M111" s="802"/>
      <c r="O111" s="96"/>
      <c r="S111" s="45"/>
    </row>
    <row r="112" spans="1:19" ht="15.75" thickBot="1">
      <c r="A112" s="35"/>
      <c r="B112" s="78" t="s">
        <v>1</v>
      </c>
      <c r="C112" s="359"/>
      <c r="D112" s="799"/>
      <c r="E112" s="1045"/>
      <c r="F112" s="799"/>
      <c r="G112" s="799"/>
      <c r="H112" s="799"/>
      <c r="I112" s="799"/>
      <c r="J112" s="359"/>
      <c r="K112" s="799"/>
      <c r="L112" s="799"/>
      <c r="M112" s="261"/>
      <c r="R112" s="45"/>
    </row>
    <row r="113" spans="1:18">
      <c r="A113" s="38"/>
      <c r="B113" s="9"/>
      <c r="C113" s="9"/>
      <c r="D113" s="9"/>
      <c r="E113" s="40"/>
      <c r="F113" s="97"/>
      <c r="G113" s="97"/>
      <c r="H113" s="9"/>
      <c r="I113" s="9"/>
      <c r="J113" s="9"/>
      <c r="K113" s="9"/>
      <c r="L113" s="9"/>
      <c r="M113" s="9"/>
      <c r="N113" s="9"/>
      <c r="O113" s="37"/>
      <c r="P113" s="37"/>
      <c r="Q113" s="37"/>
      <c r="R113" s="37"/>
    </row>
    <row r="114" spans="1:18">
      <c r="A114" s="38"/>
      <c r="B114" s="39" t="s">
        <v>229</v>
      </c>
      <c r="C114" s="40"/>
      <c r="D114" s="40"/>
      <c r="E114" s="40"/>
      <c r="F114" s="40"/>
      <c r="G114" s="37"/>
      <c r="H114" s="37"/>
      <c r="I114" s="37"/>
      <c r="J114" s="37"/>
      <c r="K114" s="37"/>
      <c r="L114" s="9"/>
      <c r="M114" s="9"/>
      <c r="N114" s="9"/>
      <c r="O114" s="37"/>
      <c r="P114" s="37"/>
      <c r="Q114" s="37"/>
      <c r="R114" s="37"/>
    </row>
    <row r="115" spans="1:18">
      <c r="A115" s="38"/>
      <c r="B115" s="41"/>
      <c r="C115" s="42"/>
      <c r="D115" s="42"/>
      <c r="E115" s="42"/>
      <c r="F115" s="42"/>
      <c r="G115" s="43"/>
      <c r="H115" s="43"/>
      <c r="I115" s="43"/>
      <c r="J115" s="43"/>
      <c r="K115" s="43"/>
      <c r="L115" s="9"/>
      <c r="M115" s="9"/>
      <c r="N115" s="9"/>
      <c r="O115" s="37"/>
      <c r="P115" s="37"/>
      <c r="Q115" s="37"/>
      <c r="R115" s="37"/>
    </row>
    <row r="116" spans="1:18">
      <c r="A116" s="38"/>
      <c r="B116" s="41"/>
      <c r="C116" s="42"/>
      <c r="D116" s="42"/>
      <c r="E116" s="42"/>
      <c r="F116" s="42"/>
      <c r="G116" s="43"/>
      <c r="H116" s="43"/>
      <c r="I116" s="43"/>
      <c r="J116" s="43"/>
      <c r="K116" s="43"/>
      <c r="L116" s="9"/>
      <c r="M116" s="9"/>
      <c r="N116" s="9"/>
      <c r="O116" s="37"/>
      <c r="P116" s="37"/>
      <c r="Q116" s="37"/>
      <c r="R116" s="37"/>
    </row>
    <row r="117" spans="1:18">
      <c r="A117" s="38"/>
      <c r="B117" s="41"/>
      <c r="C117" s="42"/>
      <c r="D117" s="42"/>
      <c r="E117" s="42"/>
      <c r="F117" s="42"/>
      <c r="G117" s="43"/>
      <c r="H117" s="43"/>
      <c r="I117" s="43"/>
      <c r="J117" s="43"/>
      <c r="K117" s="43"/>
      <c r="L117" s="9"/>
      <c r="M117" s="9"/>
      <c r="N117" s="9"/>
      <c r="O117" s="37"/>
      <c r="P117" s="37"/>
      <c r="Q117" s="37"/>
      <c r="R117" s="37"/>
    </row>
    <row r="118" spans="1:18">
      <c r="A118" s="38"/>
      <c r="B118" s="41"/>
      <c r="C118" s="42"/>
      <c r="D118" s="42"/>
      <c r="E118" s="42"/>
      <c r="F118" s="42"/>
      <c r="G118" s="43"/>
      <c r="H118" s="43"/>
      <c r="I118" s="43"/>
      <c r="J118" s="43"/>
      <c r="K118" s="43"/>
      <c r="L118" s="9"/>
      <c r="M118" s="9"/>
      <c r="N118" s="9"/>
      <c r="O118" s="37"/>
      <c r="P118" s="37"/>
      <c r="Q118" s="37"/>
      <c r="R118" s="37"/>
    </row>
    <row r="119" spans="1:18">
      <c r="A119" s="9"/>
      <c r="B119" s="9"/>
      <c r="C119" s="37"/>
      <c r="D119" s="37"/>
      <c r="F119" s="97"/>
      <c r="G119" s="97"/>
      <c r="I119" s="44"/>
      <c r="L119" s="45"/>
    </row>
    <row r="120" spans="1:18" ht="15.75" thickBot="1">
      <c r="A120" s="9"/>
      <c r="B120" s="9"/>
      <c r="C120" s="9"/>
      <c r="D120" s="9"/>
      <c r="E120" s="9"/>
      <c r="F120" s="9"/>
      <c r="G120" s="9"/>
      <c r="H120" s="9"/>
      <c r="I120" s="9"/>
      <c r="L120" s="9"/>
      <c r="M120" s="9"/>
      <c r="N120" s="9"/>
      <c r="O120" s="9"/>
      <c r="P120" s="9"/>
      <c r="Q120" s="9"/>
      <c r="R120" s="9"/>
    </row>
    <row r="121" spans="1:18" ht="18.75" thickBot="1">
      <c r="A121" s="67" t="s">
        <v>112</v>
      </c>
      <c r="B121" s="11"/>
      <c r="C121" s="52"/>
      <c r="D121" s="11"/>
      <c r="E121" s="11"/>
      <c r="F121" s="11"/>
      <c r="G121" s="11"/>
      <c r="H121" s="12"/>
      <c r="I121" s="12"/>
      <c r="M121" s="9"/>
      <c r="N121" s="9"/>
      <c r="Q121" s="9"/>
      <c r="R121" s="9"/>
    </row>
    <row r="122" spans="1:18" ht="16.5" thickBot="1">
      <c r="A122" s="53"/>
      <c r="B122" s="54"/>
      <c r="C122" s="55"/>
      <c r="D122" s="73"/>
      <c r="E122" s="73"/>
      <c r="F122" s="73"/>
      <c r="G122" s="30"/>
      <c r="H122" s="31"/>
      <c r="I122" s="51"/>
      <c r="N122" s="9"/>
      <c r="Q122" s="9"/>
      <c r="R122" s="9"/>
    </row>
    <row r="123" spans="1:18" ht="47.25" customHeight="1">
      <c r="A123" s="1101" t="s">
        <v>18</v>
      </c>
      <c r="B123" s="1156"/>
      <c r="C123" s="1031" t="s">
        <v>97</v>
      </c>
      <c r="D123" s="1030" t="s">
        <v>37</v>
      </c>
      <c r="E123" s="1030" t="s">
        <v>114</v>
      </c>
      <c r="F123" s="1030" t="s">
        <v>39</v>
      </c>
      <c r="G123" s="1030" t="s">
        <v>115</v>
      </c>
      <c r="H123" s="1032" t="s">
        <v>67</v>
      </c>
      <c r="I123" s="1032" t="s">
        <v>505</v>
      </c>
      <c r="N123" s="9"/>
      <c r="Q123" s="9"/>
      <c r="R123" s="9"/>
    </row>
    <row r="124" spans="1:18" ht="15.75" thickBot="1">
      <c r="A124" s="56"/>
      <c r="B124" s="57"/>
      <c r="C124" s="58" t="s">
        <v>25</v>
      </c>
      <c r="D124" s="62" t="s">
        <v>650</v>
      </c>
      <c r="E124" s="62"/>
      <c r="F124" s="62" t="s">
        <v>28</v>
      </c>
      <c r="G124" s="59"/>
      <c r="H124" s="60"/>
      <c r="I124" s="64" t="s">
        <v>253</v>
      </c>
      <c r="O124" s="9"/>
      <c r="P124" s="9"/>
      <c r="Q124" s="9"/>
      <c r="R124" s="9"/>
    </row>
    <row r="125" spans="1:18">
      <c r="A125" s="34">
        <f t="shared" ref="A125:B130" si="8">A34</f>
        <v>1</v>
      </c>
      <c r="B125" s="923" t="str">
        <f t="shared" si="8"/>
        <v/>
      </c>
      <c r="C125" s="924">
        <f t="shared" ref="C125:C130" si="9">IF(B34="",0,IF(F102="New Pond",F102,((((E34-(2*F34*G34))+G34)/2/G34)*((E34-(2*F34*G34))+G34)/6*((2*((D34-(2*F34*G34))+G34))+(((D34-(2*F34*G34))+G34)-((E34-(2*F34*G34))+G34)))-(((((E34-(2*F34*G34))+G34)/2/G34)-0.5)*(((E34-(2*F34*G34))+G34)-(2*0.5*G34))*(2*(((D34-(2*F34*G34))+G34)-(2*0.5*G34))+(((D34-(2*F34*G34))+G34)-((E34-(2*F34*G34))+G34)))/6))/27))</f>
        <v>0</v>
      </c>
      <c r="D125" s="924">
        <f>IF(B34="",0,IF(C125="New Pond",0,(C125/((2*(G102/5280)/7)*(C125/24.75)+(0.75*C125/24.75))))*E125)</f>
        <v>0</v>
      </c>
      <c r="E125" s="924">
        <f>IF(D34="",0,IF(C125="New Pond",0,IF(I102="",1,I102)))</f>
        <v>0</v>
      </c>
      <c r="F125" s="925">
        <f>IF(C125="New Pond",0,(2*(G102/5280)/7)*(C125/24.75)+(0.75*C125/24.75))</f>
        <v>0</v>
      </c>
      <c r="G125" s="918">
        <f>F125*'Unit Costs'!$D$55</f>
        <v>0</v>
      </c>
      <c r="H125" s="926">
        <f t="shared" ref="H125:H130" si="10">G125</f>
        <v>0</v>
      </c>
      <c r="I125" s="927">
        <f t="shared" ref="I125:I130" si="11">IF(B125="",0,IF(F102="New Pond",0,H125/C125))</f>
        <v>0</v>
      </c>
      <c r="O125" s="9"/>
      <c r="P125" s="9"/>
      <c r="Q125" s="9"/>
      <c r="R125" s="9"/>
    </row>
    <row r="126" spans="1:18">
      <c r="A126" s="34">
        <f t="shared" si="8"/>
        <v>2</v>
      </c>
      <c r="B126" s="923" t="str">
        <f t="shared" si="8"/>
        <v/>
      </c>
      <c r="C126" s="924">
        <f t="shared" si="9"/>
        <v>0</v>
      </c>
      <c r="D126" s="924">
        <f t="shared" ref="D126:D130" si="12">IF(B35="",0,IF(C126="New Pond",0,(C126/((2*(G103/5280)/7)*(C126/24.75)+(0.75*C126/24.75))))*E126)</f>
        <v>0</v>
      </c>
      <c r="E126" s="924">
        <f t="shared" ref="E126:E130" si="13">IF(D35="",0,IF(C126="New Pond",0,IF(I103="",1,I103)))</f>
        <v>0</v>
      </c>
      <c r="F126" s="925">
        <f t="shared" ref="F126:F130" si="14">IF(C126="New Pond",0,(2*(G103/5280)/7)*(C126/24.75)+(0.75*C126/24.75))</f>
        <v>0</v>
      </c>
      <c r="G126" s="918">
        <f>F126*'Unit Costs'!$D$55</f>
        <v>0</v>
      </c>
      <c r="H126" s="928">
        <f t="shared" si="10"/>
        <v>0</v>
      </c>
      <c r="I126" s="929">
        <f t="shared" si="11"/>
        <v>0</v>
      </c>
      <c r="K126" s="1055"/>
      <c r="L126" s="1055"/>
      <c r="O126" s="9"/>
      <c r="P126" s="9"/>
      <c r="Q126" s="9"/>
      <c r="R126" s="9"/>
    </row>
    <row r="127" spans="1:18">
      <c r="A127" s="34">
        <f t="shared" si="8"/>
        <v>3</v>
      </c>
      <c r="B127" s="923" t="str">
        <f t="shared" si="8"/>
        <v/>
      </c>
      <c r="C127" s="924">
        <f t="shared" si="9"/>
        <v>0</v>
      </c>
      <c r="D127" s="924">
        <f t="shared" si="12"/>
        <v>0</v>
      </c>
      <c r="E127" s="924">
        <f t="shared" si="13"/>
        <v>0</v>
      </c>
      <c r="F127" s="925">
        <f t="shared" si="14"/>
        <v>0</v>
      </c>
      <c r="G127" s="918">
        <f>F127*'Unit Costs'!$D$55</f>
        <v>0</v>
      </c>
      <c r="H127" s="928">
        <f t="shared" si="10"/>
        <v>0</v>
      </c>
      <c r="I127" s="929">
        <f t="shared" si="11"/>
        <v>0</v>
      </c>
      <c r="L127" s="1061"/>
      <c r="O127" s="9"/>
      <c r="P127" s="9"/>
      <c r="Q127" s="9"/>
      <c r="R127" s="9"/>
    </row>
    <row r="128" spans="1:18">
      <c r="A128" s="34">
        <f t="shared" si="8"/>
        <v>4</v>
      </c>
      <c r="B128" s="923" t="str">
        <f t="shared" si="8"/>
        <v/>
      </c>
      <c r="C128" s="924">
        <f t="shared" si="9"/>
        <v>0</v>
      </c>
      <c r="D128" s="924">
        <f t="shared" si="12"/>
        <v>0</v>
      </c>
      <c r="E128" s="924">
        <f t="shared" si="13"/>
        <v>0</v>
      </c>
      <c r="F128" s="925">
        <f t="shared" si="14"/>
        <v>0</v>
      </c>
      <c r="G128" s="918">
        <f>F128*'Unit Costs'!$D$55</f>
        <v>0</v>
      </c>
      <c r="H128" s="928">
        <f t="shared" si="10"/>
        <v>0</v>
      </c>
      <c r="I128" s="929">
        <f t="shared" si="11"/>
        <v>0</v>
      </c>
      <c r="L128" s="662"/>
      <c r="N128" s="9"/>
      <c r="O128" s="9"/>
      <c r="P128" s="9"/>
      <c r="Q128" s="9"/>
      <c r="R128" s="9"/>
    </row>
    <row r="129" spans="1:18">
      <c r="A129" s="34">
        <f t="shared" si="8"/>
        <v>5</v>
      </c>
      <c r="B129" s="923" t="str">
        <f t="shared" si="8"/>
        <v/>
      </c>
      <c r="C129" s="924">
        <f t="shared" si="9"/>
        <v>0</v>
      </c>
      <c r="D129" s="924">
        <f t="shared" si="12"/>
        <v>0</v>
      </c>
      <c r="E129" s="924">
        <f t="shared" si="13"/>
        <v>0</v>
      </c>
      <c r="F129" s="925">
        <f t="shared" si="14"/>
        <v>0</v>
      </c>
      <c r="G129" s="918">
        <f>F129*'Unit Costs'!$D$55</f>
        <v>0</v>
      </c>
      <c r="H129" s="928">
        <f t="shared" si="10"/>
        <v>0</v>
      </c>
      <c r="I129" s="929">
        <f t="shared" si="11"/>
        <v>0</v>
      </c>
      <c r="L129" s="163"/>
      <c r="N129" s="9"/>
      <c r="O129" s="9"/>
      <c r="P129" s="9"/>
      <c r="Q129" s="9"/>
      <c r="R129" s="9"/>
    </row>
    <row r="130" spans="1:18" ht="15.75" thickBot="1">
      <c r="A130" s="34">
        <f t="shared" si="8"/>
        <v>6</v>
      </c>
      <c r="B130" s="923" t="str">
        <f t="shared" si="8"/>
        <v/>
      </c>
      <c r="C130" s="930">
        <f t="shared" si="9"/>
        <v>0</v>
      </c>
      <c r="D130" s="924">
        <f t="shared" si="12"/>
        <v>0</v>
      </c>
      <c r="E130" s="924">
        <f t="shared" si="13"/>
        <v>0</v>
      </c>
      <c r="F130" s="925">
        <f t="shared" si="14"/>
        <v>0</v>
      </c>
      <c r="G130" s="918">
        <f>F130*'Unit Costs'!$D$55</f>
        <v>0</v>
      </c>
      <c r="H130" s="928">
        <f t="shared" si="10"/>
        <v>0</v>
      </c>
      <c r="I130" s="929">
        <f t="shared" si="11"/>
        <v>0</v>
      </c>
      <c r="L130" s="662"/>
      <c r="N130" s="9"/>
      <c r="O130" s="9"/>
      <c r="P130" s="9"/>
      <c r="Q130" s="9"/>
      <c r="R130" s="9"/>
    </row>
    <row r="131" spans="1:18" ht="15.75" thickBot="1">
      <c r="A131" s="48"/>
      <c r="B131" s="48"/>
      <c r="C131" s="931">
        <f>SUM(C125:C130)</f>
        <v>0</v>
      </c>
      <c r="D131" s="48"/>
      <c r="E131" s="48"/>
      <c r="F131" s="932">
        <f>SUM(F125:F130)</f>
        <v>0</v>
      </c>
      <c r="G131" s="933">
        <f>SUM(G125:G130)</f>
        <v>0</v>
      </c>
      <c r="H131" s="934">
        <f>SUM(H125:H130)</f>
        <v>0</v>
      </c>
      <c r="I131" s="454"/>
      <c r="L131" s="662"/>
      <c r="N131" s="9"/>
      <c r="O131" s="9"/>
      <c r="P131" s="9"/>
      <c r="Q131" s="9"/>
      <c r="R131" s="9"/>
    </row>
    <row r="132" spans="1:18">
      <c r="A132" s="9"/>
      <c r="C132" s="71"/>
      <c r="D132" s="9"/>
      <c r="E132" s="9"/>
      <c r="F132" s="71"/>
      <c r="G132" s="71"/>
      <c r="H132" s="71"/>
      <c r="L132" s="662"/>
      <c r="O132" s="9"/>
      <c r="P132" s="9"/>
      <c r="Q132" s="9"/>
      <c r="R132" s="9"/>
    </row>
    <row r="133" spans="1:18">
      <c r="A133" s="9"/>
      <c r="B133" s="9" t="s">
        <v>98</v>
      </c>
      <c r="C133" s="71"/>
      <c r="D133" s="9"/>
      <c r="E133" s="9"/>
      <c r="F133" s="71"/>
      <c r="G133" s="71"/>
      <c r="H133" s="71"/>
      <c r="O133" s="9"/>
      <c r="P133" s="9"/>
      <c r="Q133" s="9"/>
      <c r="R133" s="9"/>
    </row>
    <row r="134" spans="1:18">
      <c r="A134" s="9"/>
      <c r="B134" s="9"/>
      <c r="C134" s="71"/>
      <c r="D134" s="9"/>
      <c r="E134" s="9"/>
      <c r="F134" s="71"/>
      <c r="G134" s="71"/>
      <c r="H134" s="71"/>
      <c r="L134" s="662"/>
      <c r="O134" s="9"/>
      <c r="P134" s="9"/>
      <c r="Q134" s="9"/>
      <c r="R134" s="9"/>
    </row>
    <row r="135" spans="1:18" ht="15.75" thickBot="1">
      <c r="A135" s="9"/>
      <c r="B135" s="9"/>
      <c r="C135" s="71"/>
      <c r="D135" s="72"/>
      <c r="E135" s="72"/>
      <c r="F135" s="72"/>
      <c r="G135" s="9"/>
      <c r="H135" s="9"/>
      <c r="I135" s="9"/>
      <c r="K135" s="97"/>
      <c r="L135" s="1062"/>
      <c r="N135" s="91"/>
      <c r="O135" s="9"/>
      <c r="P135" s="9"/>
      <c r="Q135" s="9"/>
      <c r="R135" s="9"/>
    </row>
    <row r="136" spans="1:18" ht="18.75" thickBot="1">
      <c r="A136" s="67" t="s">
        <v>105</v>
      </c>
      <c r="B136" s="11"/>
      <c r="C136" s="52"/>
      <c r="D136" s="52"/>
      <c r="E136" s="11"/>
      <c r="F136" s="11"/>
      <c r="G136" s="11"/>
      <c r="H136" s="12"/>
      <c r="I136" s="12"/>
      <c r="N136" s="9"/>
      <c r="O136" s="9"/>
      <c r="P136" s="9"/>
      <c r="Q136" s="9"/>
      <c r="R136" s="9"/>
    </row>
    <row r="137" spans="1:18" ht="16.5" thickBot="1">
      <c r="A137" s="53"/>
      <c r="B137" s="54"/>
      <c r="C137" s="55"/>
      <c r="D137" s="55"/>
      <c r="E137" s="73"/>
      <c r="F137" s="73"/>
      <c r="G137" s="73"/>
      <c r="H137" s="74"/>
      <c r="I137" s="51"/>
      <c r="N137" s="9"/>
      <c r="O137" s="9"/>
      <c r="P137" s="9"/>
      <c r="Q137" s="9"/>
      <c r="R137" s="9"/>
    </row>
    <row r="138" spans="1:18" ht="58.5" customHeight="1">
      <c r="A138" s="1096" t="s">
        <v>18</v>
      </c>
      <c r="B138" s="1097"/>
      <c r="C138" s="1031" t="s">
        <v>71</v>
      </c>
      <c r="D138" s="1031" t="s">
        <v>31</v>
      </c>
      <c r="E138" s="1031" t="s">
        <v>32</v>
      </c>
      <c r="F138" s="1030" t="s">
        <v>33</v>
      </c>
      <c r="G138" s="1030" t="s">
        <v>53</v>
      </c>
      <c r="H138" s="1032" t="s">
        <v>68</v>
      </c>
      <c r="I138" s="1032" t="s">
        <v>505</v>
      </c>
      <c r="N138" s="9"/>
      <c r="O138" s="9"/>
      <c r="P138" s="9"/>
      <c r="Q138" s="9"/>
      <c r="R138" s="9"/>
    </row>
    <row r="139" spans="1:18" ht="15.75" thickBot="1">
      <c r="A139" s="56"/>
      <c r="B139" s="57"/>
      <c r="C139" s="84" t="s">
        <v>72</v>
      </c>
      <c r="D139" s="58" t="s">
        <v>28</v>
      </c>
      <c r="E139" s="58"/>
      <c r="F139" s="59"/>
      <c r="G139" s="59"/>
      <c r="H139" s="60"/>
      <c r="I139" s="64" t="s">
        <v>255</v>
      </c>
      <c r="L139" s="97"/>
      <c r="N139" s="9"/>
      <c r="O139" s="9"/>
      <c r="P139" s="9"/>
      <c r="Q139" s="9"/>
      <c r="R139" s="9"/>
    </row>
    <row r="140" spans="1:18">
      <c r="A140" s="34">
        <f t="shared" ref="A140:B145" si="15">A34</f>
        <v>1</v>
      </c>
      <c r="B140" s="923" t="str">
        <f t="shared" si="15"/>
        <v/>
      </c>
      <c r="C140" s="924">
        <f t="shared" ref="C140:C145" si="16">IF(D34="",0,(IF(F102="Single Liner",((D34-(2*F34*G34))*(E34-(2*F34*G34))+SQRT((F34)^2+(2*F34*G34)^2)*((D34+(D34-(2*F34*G34)))+(E34+(E34-(2*F34*G34))))/2+8*(D34+4)+8*(E34+4)),IF(F102="Double Liner",((D34-(2*F34*G34))*(E34-(2*F34*G34))+SQRT((F34)^2+(2*F34*G34)^2)*((D34+(D34-(2*F34*G34)))+(E34+(E34-(2*F34*G34))))/2+8*(D34+4)+8*(E34+4)),"No Ex Liner"))))</f>
        <v>0</v>
      </c>
      <c r="D140" s="971">
        <f>IF(D34="",0,IF(C140="No Ex Liner",0,C140/'Unit Costs'!F$70/8))</f>
        <v>0</v>
      </c>
      <c r="E140" s="918">
        <f>'Unit Costs'!$C$23*D140</f>
        <v>0</v>
      </c>
      <c r="F140" s="952">
        <f>'Unit Costs'!$B$23*D140</f>
        <v>0</v>
      </c>
      <c r="G140" s="952">
        <f>IF(C140="No Ex Liner",0,'Unit Costs'!G$70*C140/100)</f>
        <v>0</v>
      </c>
      <c r="H140" s="926">
        <f t="shared" ref="H140:H145" si="17">SUM(E140:G140)</f>
        <v>0</v>
      </c>
      <c r="I140" s="927">
        <f t="shared" ref="I140:I145" si="18">IF(C140=0,0,IF(C140="No Ex Liner",0,H140/C140))</f>
        <v>0</v>
      </c>
      <c r="L140" s="97"/>
      <c r="N140" s="9"/>
      <c r="O140" s="9"/>
      <c r="P140" s="9"/>
      <c r="Q140" s="9"/>
      <c r="R140" s="9"/>
    </row>
    <row r="141" spans="1:18">
      <c r="A141" s="34">
        <f t="shared" si="15"/>
        <v>2</v>
      </c>
      <c r="B141" s="923" t="str">
        <f t="shared" si="15"/>
        <v/>
      </c>
      <c r="C141" s="924">
        <f t="shared" si="16"/>
        <v>0</v>
      </c>
      <c r="D141" s="971">
        <f>IF(D35="",0,IF(C141="No Ex Liner",0,C141/'Unit Costs'!F$70/8))</f>
        <v>0</v>
      </c>
      <c r="E141" s="918">
        <f>'Unit Costs'!$C$23*D141</f>
        <v>0</v>
      </c>
      <c r="F141" s="952">
        <f>'Unit Costs'!$B$23*D141</f>
        <v>0</v>
      </c>
      <c r="G141" s="952">
        <f>IF(C141="No Ex Liner",0,'Unit Costs'!G$70*C141/100)</f>
        <v>0</v>
      </c>
      <c r="H141" s="928">
        <f t="shared" si="17"/>
        <v>0</v>
      </c>
      <c r="I141" s="929">
        <f t="shared" si="18"/>
        <v>0</v>
      </c>
      <c r="L141" s="97"/>
      <c r="N141" s="9"/>
      <c r="O141" s="9"/>
      <c r="P141" s="9"/>
      <c r="Q141" s="9"/>
      <c r="R141" s="9"/>
    </row>
    <row r="142" spans="1:18">
      <c r="A142" s="34">
        <f t="shared" si="15"/>
        <v>3</v>
      </c>
      <c r="B142" s="923" t="str">
        <f t="shared" si="15"/>
        <v/>
      </c>
      <c r="C142" s="924">
        <f t="shared" si="16"/>
        <v>0</v>
      </c>
      <c r="D142" s="971">
        <f>IF(D36="",0,IF(C142="No Ex Liner",0,C142/'Unit Costs'!F$70/8))</f>
        <v>0</v>
      </c>
      <c r="E142" s="918">
        <f>'Unit Costs'!$C$23*D142</f>
        <v>0</v>
      </c>
      <c r="F142" s="952">
        <f>'Unit Costs'!$B$23*D142</f>
        <v>0</v>
      </c>
      <c r="G142" s="952">
        <f>IF(C142="No Ex Liner",0,'Unit Costs'!G$70*C142/100)</f>
        <v>0</v>
      </c>
      <c r="H142" s="928">
        <f t="shared" si="17"/>
        <v>0</v>
      </c>
      <c r="I142" s="929">
        <f t="shared" si="18"/>
        <v>0</v>
      </c>
      <c r="L142" s="97"/>
      <c r="N142" s="9"/>
      <c r="O142" s="9"/>
      <c r="P142" s="9"/>
      <c r="Q142" s="9"/>
      <c r="R142" s="9"/>
    </row>
    <row r="143" spans="1:18">
      <c r="A143" s="34">
        <f t="shared" si="15"/>
        <v>4</v>
      </c>
      <c r="B143" s="923" t="str">
        <f t="shared" si="15"/>
        <v/>
      </c>
      <c r="C143" s="924">
        <f t="shared" si="16"/>
        <v>0</v>
      </c>
      <c r="D143" s="971">
        <f>IF(D37="",0,IF(C143="No Ex Liner",0,C143/'Unit Costs'!F$70/8))</f>
        <v>0</v>
      </c>
      <c r="E143" s="918">
        <f>'Unit Costs'!$C$23*D143</f>
        <v>0</v>
      </c>
      <c r="F143" s="952">
        <f>'Unit Costs'!$B$23*D143</f>
        <v>0</v>
      </c>
      <c r="G143" s="952">
        <f>IF(C143="No Ex Liner",0,'Unit Costs'!G$70*C143/100)</f>
        <v>0</v>
      </c>
      <c r="H143" s="928">
        <f t="shared" si="17"/>
        <v>0</v>
      </c>
      <c r="I143" s="929">
        <f t="shared" si="18"/>
        <v>0</v>
      </c>
      <c r="L143" s="97"/>
      <c r="R143" s="9"/>
    </row>
    <row r="144" spans="1:18">
      <c r="A144" s="34">
        <f t="shared" si="15"/>
        <v>5</v>
      </c>
      <c r="B144" s="923" t="str">
        <f t="shared" si="15"/>
        <v/>
      </c>
      <c r="C144" s="924">
        <f t="shared" si="16"/>
        <v>0</v>
      </c>
      <c r="D144" s="971">
        <f>IF(D38="",0,IF(C144="No Ex Liner",0,C144/'Unit Costs'!F$70/8))</f>
        <v>0</v>
      </c>
      <c r="E144" s="918">
        <f>'Unit Costs'!$C$23*D144</f>
        <v>0</v>
      </c>
      <c r="F144" s="952">
        <f>'Unit Costs'!$B$23*D144</f>
        <v>0</v>
      </c>
      <c r="G144" s="952">
        <f>IF(C144="No Ex Liner",0,'Unit Costs'!G$70*C144/100)</f>
        <v>0</v>
      </c>
      <c r="H144" s="928">
        <f t="shared" si="17"/>
        <v>0</v>
      </c>
      <c r="I144" s="929">
        <f t="shared" si="18"/>
        <v>0</v>
      </c>
      <c r="L144" s="97"/>
      <c r="R144" s="9"/>
    </row>
    <row r="145" spans="1:72" ht="15.75" thickBot="1">
      <c r="A145" s="34">
        <f t="shared" si="15"/>
        <v>6</v>
      </c>
      <c r="B145" s="923" t="str">
        <f t="shared" si="15"/>
        <v/>
      </c>
      <c r="C145" s="924">
        <f t="shared" si="16"/>
        <v>0</v>
      </c>
      <c r="D145" s="971">
        <f>IF(D39="",0,IF(C145="No Ex Liner",0,C145/'Unit Costs'!F$70/8))</f>
        <v>0</v>
      </c>
      <c r="E145" s="918">
        <f>'Unit Costs'!$C$23*D145</f>
        <v>0</v>
      </c>
      <c r="F145" s="952">
        <f>'Unit Costs'!$B$23*D145</f>
        <v>0</v>
      </c>
      <c r="G145" s="952">
        <f>IF(C145="No Ex Liner",0,'Unit Costs'!G$70*C145/100)</f>
        <v>0</v>
      </c>
      <c r="H145" s="928">
        <f t="shared" si="17"/>
        <v>0</v>
      </c>
      <c r="I145" s="929">
        <f t="shared" si="18"/>
        <v>0</v>
      </c>
      <c r="L145" s="800"/>
      <c r="M145" s="800"/>
      <c r="N145" s="800"/>
      <c r="R145" s="9"/>
    </row>
    <row r="146" spans="1:72" ht="15.75" thickBot="1">
      <c r="A146" s="48"/>
      <c r="B146" s="48"/>
      <c r="C146" s="935">
        <f>SUM(C140:C145)</f>
        <v>0</v>
      </c>
      <c r="D146" s="932">
        <f t="shared" ref="D146:H146" si="19">SUM(D140:D145)</f>
        <v>0</v>
      </c>
      <c r="E146" s="920">
        <f t="shared" si="19"/>
        <v>0</v>
      </c>
      <c r="F146" s="920">
        <f t="shared" si="19"/>
        <v>0</v>
      </c>
      <c r="G146" s="920">
        <f t="shared" si="19"/>
        <v>0</v>
      </c>
      <c r="H146" s="934">
        <f t="shared" si="19"/>
        <v>0</v>
      </c>
      <c r="I146" s="454"/>
      <c r="R146" s="9"/>
    </row>
    <row r="147" spans="1:72">
      <c r="A147" s="9"/>
      <c r="B147" s="9"/>
      <c r="C147" s="335"/>
      <c r="D147" s="71"/>
      <c r="E147" s="72"/>
      <c r="F147" s="72"/>
      <c r="G147" s="72"/>
      <c r="H147" s="72"/>
      <c r="I147" s="72"/>
      <c r="R147" s="9"/>
    </row>
    <row r="148" spans="1:72">
      <c r="A148" s="9"/>
      <c r="B148" s="9"/>
      <c r="C148" s="335"/>
      <c r="D148" s="71"/>
      <c r="E148" s="72"/>
      <c r="F148" s="72"/>
      <c r="G148" s="72"/>
      <c r="H148" s="72"/>
      <c r="I148" s="72"/>
      <c r="R148" s="9"/>
    </row>
    <row r="149" spans="1:72" s="297" customFormat="1">
      <c r="A149" s="9"/>
      <c r="B149" s="9"/>
      <c r="C149" s="335"/>
      <c r="D149" s="71"/>
      <c r="E149" s="336"/>
      <c r="F149" s="336"/>
      <c r="G149" s="336"/>
      <c r="H149" s="72"/>
      <c r="I149" s="9"/>
      <c r="R149" s="9"/>
    </row>
    <row r="150" spans="1:72" s="297" customFormat="1" ht="15.75" thickBot="1">
      <c r="A150" s="9"/>
      <c r="B150" s="9"/>
      <c r="C150" s="335"/>
      <c r="D150" s="71"/>
      <c r="E150" s="336"/>
      <c r="F150" s="336"/>
      <c r="G150" s="336"/>
      <c r="H150" s="72"/>
      <c r="I150" s="9"/>
      <c r="R150" s="9"/>
    </row>
    <row r="151" spans="1:72" s="100" customFormat="1" ht="18.75" thickBot="1">
      <c r="A151" s="101" t="s">
        <v>148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2"/>
      <c r="BE151" s="877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</row>
    <row r="152" spans="1:72" s="100" customFormat="1" ht="18.75" thickBot="1">
      <c r="A152" s="103"/>
      <c r="B152" s="104" t="s">
        <v>513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6" t="s">
        <v>117</v>
      </c>
      <c r="M152" s="105"/>
      <c r="N152" s="107"/>
      <c r="O152" s="12"/>
      <c r="Q152" s="122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878"/>
      <c r="BQ152" s="130"/>
    </row>
    <row r="153" spans="1:72" s="100" customFormat="1" ht="16.5" thickBot="1">
      <c r="A153" s="103"/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6"/>
      <c r="M153" s="105"/>
      <c r="N153" s="107"/>
      <c r="O153" s="51"/>
      <c r="Q153" s="122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878"/>
      <c r="BQ153" s="130"/>
    </row>
    <row r="154" spans="1:72" s="100" customFormat="1" ht="47.25" customHeight="1">
      <c r="A154" s="1164" t="s">
        <v>18</v>
      </c>
      <c r="B154" s="1165"/>
      <c r="C154" s="1036" t="s">
        <v>118</v>
      </c>
      <c r="D154" s="1037" t="s">
        <v>284</v>
      </c>
      <c r="E154" s="1037" t="s">
        <v>485</v>
      </c>
      <c r="F154" s="1030" t="s">
        <v>119</v>
      </c>
      <c r="G154" s="1030" t="s">
        <v>120</v>
      </c>
      <c r="H154" s="1030" t="s">
        <v>121</v>
      </c>
      <c r="I154" s="1030" t="s">
        <v>122</v>
      </c>
      <c r="J154" s="1030" t="s">
        <v>123</v>
      </c>
      <c r="K154" s="1015" t="s">
        <v>124</v>
      </c>
      <c r="L154" s="1036" t="s">
        <v>261</v>
      </c>
      <c r="M154" s="1036" t="s">
        <v>33</v>
      </c>
      <c r="N154" s="1038" t="s">
        <v>604</v>
      </c>
      <c r="O154" s="1032" t="s">
        <v>505</v>
      </c>
      <c r="BE154" s="877"/>
      <c r="BF154" s="877"/>
      <c r="BG154" s="877"/>
      <c r="BH154" s="877"/>
      <c r="BI154" s="877"/>
      <c r="BJ154" s="877"/>
      <c r="BK154" s="877"/>
      <c r="BL154" s="877"/>
      <c r="BM154" s="877"/>
      <c r="BN154" s="877"/>
      <c r="BO154" s="877"/>
      <c r="BP154" s="877"/>
      <c r="BQ154" s="130"/>
      <c r="BT154" s="108"/>
    </row>
    <row r="155" spans="1:72" s="100" customFormat="1" ht="15.75" thickBot="1">
      <c r="A155" s="109"/>
      <c r="B155" s="110"/>
      <c r="C155" s="111" t="s">
        <v>448</v>
      </c>
      <c r="D155" s="112" t="s">
        <v>21</v>
      </c>
      <c r="E155" s="112"/>
      <c r="F155" s="5" t="s">
        <v>41</v>
      </c>
      <c r="G155" s="5"/>
      <c r="H155" s="5"/>
      <c r="I155" s="5"/>
      <c r="J155" s="5" t="s">
        <v>41</v>
      </c>
      <c r="K155" s="113" t="s">
        <v>127</v>
      </c>
      <c r="L155" s="114" t="s">
        <v>128</v>
      </c>
      <c r="M155" s="115" t="s">
        <v>128</v>
      </c>
      <c r="N155" s="116" t="s">
        <v>128</v>
      </c>
      <c r="O155" s="64" t="s">
        <v>253</v>
      </c>
      <c r="BE155" s="877"/>
      <c r="BF155" s="877"/>
      <c r="BG155" s="877"/>
      <c r="BH155" s="877"/>
      <c r="BI155" s="877"/>
      <c r="BJ155" s="877"/>
      <c r="BK155" s="877"/>
      <c r="BL155" s="877"/>
      <c r="BM155" s="877"/>
      <c r="BN155" s="877"/>
      <c r="BO155" s="877"/>
      <c r="BP155" s="877"/>
      <c r="BQ155" s="130"/>
    </row>
    <row r="156" spans="1:72" s="100" customFormat="1">
      <c r="A156" s="34">
        <f t="shared" ref="A156:B161" si="20">A34</f>
        <v>1</v>
      </c>
      <c r="B156" s="936" t="str">
        <f t="shared" si="20"/>
        <v/>
      </c>
      <c r="C156" s="937">
        <f t="shared" ref="C156:C161" si="21">IF(D34="",0,IF(F102="New Pond",(((J34+(J34+(2*K34*G34)))*(K34/2))*1.5*D34/27/1.25),"Existing Pond"))</f>
        <v>0</v>
      </c>
      <c r="D156" s="937">
        <f t="shared" ref="D156:D161" si="22">IF(B156="",0,IF(C156="Existing Pond",0,IF(E34&gt;400,400,E34)))</f>
        <v>0</v>
      </c>
      <c r="E156" s="938">
        <f t="shared" ref="E156:E161" si="23">IF(B156="",0,IF(D156="Existing Pond","",N34))</f>
        <v>0</v>
      </c>
      <c r="F156" s="937">
        <f t="shared" ref="F156:F161" si="24">IF(C156="Existing Pond",0,IF(D34="",0,IF(N34=F$661,22719*D156^-0.7796,IF(N34=F$662,89889*D156^-0.9425,81639*D156^-0.8502))))</f>
        <v>0</v>
      </c>
      <c r="G156" s="939">
        <f t="shared" ref="G156:G161" si="25">IF(C156="Existing Pond",0,IF(D34="",0,1))</f>
        <v>0</v>
      </c>
      <c r="H156" s="940">
        <f t="shared" ref="H156:H161" si="26">IF(C156="Existing Pond",0,IF(D34="",0,IF(M34="alluvium",0.79,IF(M34="Basalt",0.7,IF(M34="Clay - Dry",0.92,IF(M34="Granite - broken",0.82,IF(M34="Gravel",0.9,IF(M34="LS - broken",0.88,IF(M34="Sandstone",0.9,IF(M34="Shale",1.1,IF(M34="Stone - crushed",0.85,IF(M34="Tailings - Coarse (dry, loose sand)",0.96,IF(M34="Tailings - Slimes (loose sand &amp; clay)",0.85,IF(M34="Topsoil",1.44,"Select Material"))))))))))))))</f>
        <v>0</v>
      </c>
      <c r="I156" s="939">
        <f t="shared" ref="I156:I161" si="27">IF(C156="Existing Pond",0,L34)</f>
        <v>1</v>
      </c>
      <c r="J156" s="937">
        <f t="shared" ref="J156:J161" si="28">IF(D34="",0,F156*G156*H156*0.75*I156*0.83)</f>
        <v>0</v>
      </c>
      <c r="K156" s="937">
        <f t="shared" ref="K156:K161" si="29">IF(F102="New Pond",ROUND(C156/J156,0),0)</f>
        <v>0</v>
      </c>
      <c r="L156" s="918">
        <f>IF(B156="",0,IF(B156=0,0,IF(C156="Existing Pond",0,K156*(IF(N34=F$661,('Unit Costs'!B$35),IF(N34=F$662,('Unit Costs'!B$34),IF(N34=F$663,('Unit Costs'!B$33),"Select Fleet")))))))</f>
        <v>0</v>
      </c>
      <c r="M156" s="918">
        <f>IF(B156="",0,IF(B156=0,0,IF(C156="Existing Pond",0,K156*IF(N34=F$661,('Unit Costs'!C$35),IF(N34=F$662,('Unit Costs'!C$34),IF(N34=F$663,('Unit Costs'!C$33),"Select Fleet"))))))</f>
        <v>0</v>
      </c>
      <c r="N156" s="926">
        <f t="shared" ref="N156:N161" si="30">SUM(L156:M156)</f>
        <v>0</v>
      </c>
      <c r="O156" s="927">
        <f>IF(B156="",0,IF(C156="Existing Pond",0,N156/C156))</f>
        <v>0</v>
      </c>
      <c r="BE156" s="877"/>
      <c r="BF156" s="877"/>
      <c r="BG156" s="877"/>
      <c r="BH156" s="877"/>
      <c r="BI156" s="877"/>
      <c r="BJ156" s="877"/>
      <c r="BK156" s="877"/>
      <c r="BL156" s="877"/>
      <c r="BM156" s="877"/>
      <c r="BN156" s="877"/>
      <c r="BO156" s="877"/>
      <c r="BP156" s="877"/>
      <c r="BQ156" s="130"/>
    </row>
    <row r="157" spans="1:72" s="100" customFormat="1">
      <c r="A157" s="34">
        <f t="shared" si="20"/>
        <v>2</v>
      </c>
      <c r="B157" s="936" t="str">
        <f t="shared" si="20"/>
        <v/>
      </c>
      <c r="C157" s="937">
        <f t="shared" si="21"/>
        <v>0</v>
      </c>
      <c r="D157" s="937">
        <f t="shared" si="22"/>
        <v>0</v>
      </c>
      <c r="E157" s="941">
        <f t="shared" si="23"/>
        <v>0</v>
      </c>
      <c r="F157" s="937">
        <f t="shared" si="24"/>
        <v>0</v>
      </c>
      <c r="G157" s="939">
        <f t="shared" si="25"/>
        <v>0</v>
      </c>
      <c r="H157" s="940">
        <f t="shared" si="26"/>
        <v>0</v>
      </c>
      <c r="I157" s="939">
        <f t="shared" si="27"/>
        <v>1</v>
      </c>
      <c r="J157" s="937">
        <f t="shared" si="28"/>
        <v>0</v>
      </c>
      <c r="K157" s="937">
        <f t="shared" si="29"/>
        <v>0</v>
      </c>
      <c r="L157" s="918">
        <f>IF(B157="",0,IF(B157=0,0,IF(C157="Existing Pond",0,K157*(IF(N35=F$661,('Unit Costs'!B$35),IF(N35=F$662,('Unit Costs'!B$34),IF(N35=F$663,('Unit Costs'!B$33),"Select Fleet")))))))</f>
        <v>0</v>
      </c>
      <c r="M157" s="918">
        <f>IF(B157="",0,IF(B157=0,0,IF(C157="Existing Pond",0,K157*IF(N35=F$661,('Unit Costs'!C$35),IF(N35=F$662,('Unit Costs'!C$34),IF(N35=F$663,('Unit Costs'!C$33),"Select Fleet"))))))</f>
        <v>0</v>
      </c>
      <c r="N157" s="928">
        <f t="shared" si="30"/>
        <v>0</v>
      </c>
      <c r="O157" s="929">
        <f t="shared" ref="O157:O161" si="31">IF(B157="",0,IF(C157="Existing Pond",0,N157/C157))</f>
        <v>0</v>
      </c>
    </row>
    <row r="158" spans="1:72" s="100" customFormat="1">
      <c r="A158" s="34">
        <f t="shared" si="20"/>
        <v>3</v>
      </c>
      <c r="B158" s="936" t="str">
        <f t="shared" si="20"/>
        <v/>
      </c>
      <c r="C158" s="937">
        <f t="shared" si="21"/>
        <v>0</v>
      </c>
      <c r="D158" s="937">
        <f t="shared" si="22"/>
        <v>0</v>
      </c>
      <c r="E158" s="941">
        <f t="shared" si="23"/>
        <v>0</v>
      </c>
      <c r="F158" s="937">
        <f t="shared" si="24"/>
        <v>0</v>
      </c>
      <c r="G158" s="939">
        <f t="shared" si="25"/>
        <v>0</v>
      </c>
      <c r="H158" s="940">
        <f t="shared" si="26"/>
        <v>0</v>
      </c>
      <c r="I158" s="939">
        <f t="shared" si="27"/>
        <v>1</v>
      </c>
      <c r="J158" s="937">
        <f t="shared" si="28"/>
        <v>0</v>
      </c>
      <c r="K158" s="937">
        <f t="shared" si="29"/>
        <v>0</v>
      </c>
      <c r="L158" s="918">
        <f>IF(B158="",0,IF(B158=0,0,IF(C158="Existing Pond",0,K158*(IF(N36=F$661,('Unit Costs'!B$35),IF(N36=F$662,('Unit Costs'!B$34),IF(N36=F$663,('Unit Costs'!B$33),"Select Fleet")))))))</f>
        <v>0</v>
      </c>
      <c r="M158" s="918">
        <f>IF(B158="",0,IF(B158=0,0,IF(C158="Existing Pond",0,K158*IF(N36=F$661,('Unit Costs'!C$35),IF(N36=F$662,('Unit Costs'!C$34),IF(N36=F$663,('Unit Costs'!C$33),"Select Fleet"))))))</f>
        <v>0</v>
      </c>
      <c r="N158" s="928">
        <f t="shared" si="30"/>
        <v>0</v>
      </c>
      <c r="O158" s="929">
        <f t="shared" si="31"/>
        <v>0</v>
      </c>
    </row>
    <row r="159" spans="1:72" s="100" customFormat="1">
      <c r="A159" s="34">
        <f t="shared" si="20"/>
        <v>4</v>
      </c>
      <c r="B159" s="936" t="str">
        <f t="shared" si="20"/>
        <v/>
      </c>
      <c r="C159" s="937">
        <f t="shared" si="21"/>
        <v>0</v>
      </c>
      <c r="D159" s="937">
        <f t="shared" si="22"/>
        <v>0</v>
      </c>
      <c r="E159" s="941">
        <f t="shared" si="23"/>
        <v>0</v>
      </c>
      <c r="F159" s="937">
        <f t="shared" si="24"/>
        <v>0</v>
      </c>
      <c r="G159" s="939">
        <f t="shared" si="25"/>
        <v>0</v>
      </c>
      <c r="H159" s="940">
        <f t="shared" si="26"/>
        <v>0</v>
      </c>
      <c r="I159" s="939">
        <f t="shared" si="27"/>
        <v>1</v>
      </c>
      <c r="J159" s="937">
        <f t="shared" si="28"/>
        <v>0</v>
      </c>
      <c r="K159" s="937">
        <f t="shared" si="29"/>
        <v>0</v>
      </c>
      <c r="L159" s="918">
        <f>IF(B159="",0,IF(B159=0,0,IF(C159="Existing Pond",0,K159*(IF(N37=F$661,('Unit Costs'!B$35),IF(N37=F$662,('Unit Costs'!B$34),IF(N37=F$663,('Unit Costs'!B$33),"Select Fleet")))))))</f>
        <v>0</v>
      </c>
      <c r="M159" s="918">
        <f>IF(B159="",0,IF(B159=0,0,IF(C159="Existing Pond",0,K159*IF(N37=F$661,('Unit Costs'!C$35),IF(N37=F$662,('Unit Costs'!C$34),IF(N37=F$663,('Unit Costs'!C$33),"Select Fleet"))))))</f>
        <v>0</v>
      </c>
      <c r="N159" s="928">
        <f t="shared" si="30"/>
        <v>0</v>
      </c>
      <c r="O159" s="929">
        <f t="shared" si="31"/>
        <v>0</v>
      </c>
    </row>
    <row r="160" spans="1:72" s="100" customFormat="1">
      <c r="A160" s="34">
        <f t="shared" si="20"/>
        <v>5</v>
      </c>
      <c r="B160" s="936" t="str">
        <f t="shared" si="20"/>
        <v/>
      </c>
      <c r="C160" s="937">
        <f t="shared" si="21"/>
        <v>0</v>
      </c>
      <c r="D160" s="937">
        <f t="shared" si="22"/>
        <v>0</v>
      </c>
      <c r="E160" s="941">
        <f t="shared" si="23"/>
        <v>0</v>
      </c>
      <c r="F160" s="937">
        <f t="shared" si="24"/>
        <v>0</v>
      </c>
      <c r="G160" s="939">
        <f t="shared" si="25"/>
        <v>0</v>
      </c>
      <c r="H160" s="940">
        <f t="shared" si="26"/>
        <v>0</v>
      </c>
      <c r="I160" s="939">
        <f t="shared" si="27"/>
        <v>1</v>
      </c>
      <c r="J160" s="937">
        <f t="shared" si="28"/>
        <v>0</v>
      </c>
      <c r="K160" s="937">
        <f t="shared" si="29"/>
        <v>0</v>
      </c>
      <c r="L160" s="918">
        <f>IF(B160="",0,IF(B160=0,0,IF(C160="Existing Pond",0,K160*(IF(N38=F$661,('Unit Costs'!B$35),IF(N38=F$662,('Unit Costs'!B$34),IF(N38=F$663,('Unit Costs'!B$33),"Select Fleet")))))))</f>
        <v>0</v>
      </c>
      <c r="M160" s="918">
        <f>IF(B160="",0,IF(B160=0,0,IF(C160="Existing Pond",0,K160*IF(N38=F$661,('Unit Costs'!C$35),IF(N38=F$662,('Unit Costs'!C$34),IF(N38=F$663,('Unit Costs'!C$33),"Select Fleet"))))))</f>
        <v>0</v>
      </c>
      <c r="N160" s="942">
        <f t="shared" si="30"/>
        <v>0</v>
      </c>
      <c r="O160" s="929">
        <f t="shared" si="31"/>
        <v>0</v>
      </c>
    </row>
    <row r="161" spans="1:18" s="100" customFormat="1" ht="15.75" thickBot="1">
      <c r="A161" s="34">
        <f t="shared" si="20"/>
        <v>6</v>
      </c>
      <c r="B161" s="936" t="str">
        <f t="shared" si="20"/>
        <v/>
      </c>
      <c r="C161" s="937">
        <f t="shared" si="21"/>
        <v>0</v>
      </c>
      <c r="D161" s="937">
        <f t="shared" si="22"/>
        <v>0</v>
      </c>
      <c r="E161" s="943">
        <f t="shared" si="23"/>
        <v>0</v>
      </c>
      <c r="F161" s="937">
        <f t="shared" si="24"/>
        <v>0</v>
      </c>
      <c r="G161" s="939">
        <f t="shared" si="25"/>
        <v>0</v>
      </c>
      <c r="H161" s="940">
        <f t="shared" si="26"/>
        <v>0</v>
      </c>
      <c r="I161" s="939">
        <f t="shared" si="27"/>
        <v>1</v>
      </c>
      <c r="J161" s="937">
        <f t="shared" si="28"/>
        <v>0</v>
      </c>
      <c r="K161" s="937">
        <f t="shared" si="29"/>
        <v>0</v>
      </c>
      <c r="L161" s="918">
        <f>IF(B161="",0,IF(B161=0,0,IF(C161="Existing Pond",0,K161*(IF(N39=F$661,('Unit Costs'!B$35),IF(N39=F$662,('Unit Costs'!B$34),IF(N39=F$663,('Unit Costs'!B$33),"Select Fleet")))))))</f>
        <v>0</v>
      </c>
      <c r="M161" s="918">
        <f>IF(B161="",0,IF(B161=0,0,IF(C161="Existing Pond",0,K161*IF(N39=F$661,('Unit Costs'!C$35),IF(N39=F$662,('Unit Costs'!C$34),IF(N39=F$663,('Unit Costs'!C$33),"Select Fleet"))))))</f>
        <v>0</v>
      </c>
      <c r="N161" s="944">
        <f t="shared" si="30"/>
        <v>0</v>
      </c>
      <c r="O161" s="929">
        <f t="shared" si="31"/>
        <v>0</v>
      </c>
    </row>
    <row r="162" spans="1:18" s="100" customFormat="1" ht="15.75" thickBot="1">
      <c r="A162" s="117"/>
      <c r="B162" s="117"/>
      <c r="C162" s="945">
        <f>SUM(C156:C161)</f>
        <v>0</v>
      </c>
      <c r="D162" s="117"/>
      <c r="F162" s="117"/>
      <c r="G162" s="117"/>
      <c r="H162" s="117"/>
      <c r="I162" s="117"/>
      <c r="J162" s="117"/>
      <c r="K162" s="946">
        <f>SUM(K156:K161)</f>
        <v>0</v>
      </c>
      <c r="L162" s="947">
        <f>SUM(L156:L161)</f>
        <v>0</v>
      </c>
      <c r="M162" s="948">
        <f>SUM(M156:M161)</f>
        <v>0</v>
      </c>
      <c r="N162" s="949">
        <f>SUM(N156:N161)</f>
        <v>0</v>
      </c>
      <c r="O162" s="454"/>
    </row>
    <row r="163" spans="1:18" s="100" customFormat="1">
      <c r="B163" s="130"/>
      <c r="C163" s="891"/>
      <c r="D163" s="130"/>
      <c r="F163" s="130"/>
      <c r="G163" s="130"/>
      <c r="H163" s="130"/>
      <c r="I163" s="130"/>
      <c r="J163" s="130"/>
      <c r="K163" s="885"/>
      <c r="L163" s="886"/>
      <c r="M163" s="886"/>
      <c r="N163" s="886"/>
      <c r="O163" s="72"/>
    </row>
    <row r="164" spans="1:18" s="100" customFormat="1">
      <c r="A164" s="9" t="s">
        <v>116</v>
      </c>
    </row>
    <row r="165" spans="1:18" s="100" customFormat="1"/>
    <row r="166" spans="1:18" ht="15.75" thickBot="1">
      <c r="B166" s="9"/>
      <c r="C166" s="71"/>
      <c r="D166" s="72"/>
      <c r="E166" s="72"/>
      <c r="F166" s="72"/>
      <c r="G166" s="9"/>
      <c r="H166" s="9"/>
      <c r="L166" s="9"/>
      <c r="M166" s="9"/>
      <c r="N166" s="9"/>
      <c r="O166" s="9"/>
      <c r="P166" s="9"/>
      <c r="Q166" s="9"/>
      <c r="R166" s="9"/>
    </row>
    <row r="167" spans="1:18" ht="18.75" thickBot="1">
      <c r="A167" s="125" t="s">
        <v>340</v>
      </c>
      <c r="B167" s="11"/>
      <c r="C167" s="52"/>
      <c r="D167" s="52"/>
      <c r="E167" s="11"/>
      <c r="F167" s="11"/>
      <c r="G167" s="11"/>
      <c r="H167" s="11"/>
      <c r="I167" s="12"/>
      <c r="J167" s="68"/>
      <c r="K167" s="118" t="s">
        <v>375</v>
      </c>
      <c r="L167" s="118"/>
      <c r="M167" s="118"/>
      <c r="N167" s="118"/>
      <c r="O167" s="9"/>
      <c r="P167" s="9"/>
      <c r="Q167" s="9"/>
      <c r="R167" s="9"/>
    </row>
    <row r="168" spans="1:18" ht="16.5" thickBot="1">
      <c r="A168" s="298"/>
      <c r="B168" s="299"/>
      <c r="C168" s="343"/>
      <c r="D168" s="344"/>
      <c r="E168" s="345"/>
      <c r="F168" s="339"/>
      <c r="G168" s="339"/>
      <c r="H168" s="341"/>
      <c r="I168" s="51"/>
      <c r="K168" s="119"/>
      <c r="L168" s="120"/>
      <c r="M168" s="120"/>
      <c r="N168" s="120"/>
      <c r="O168" s="9"/>
      <c r="P168" s="9"/>
      <c r="Q168" s="9"/>
      <c r="R168" s="9"/>
    </row>
    <row r="169" spans="1:18" ht="56.25" customHeight="1">
      <c r="A169" s="1096" t="s">
        <v>18</v>
      </c>
      <c r="B169" s="1097"/>
      <c r="C169" s="1031" t="s">
        <v>71</v>
      </c>
      <c r="D169" s="1015" t="s">
        <v>31</v>
      </c>
      <c r="E169" s="1031" t="s">
        <v>32</v>
      </c>
      <c r="F169" s="1030" t="s">
        <v>33</v>
      </c>
      <c r="G169" s="1030" t="s">
        <v>53</v>
      </c>
      <c r="H169" s="1015" t="s">
        <v>68</v>
      </c>
      <c r="I169" s="1032" t="s">
        <v>505</v>
      </c>
      <c r="P169" s="9"/>
      <c r="Q169" s="9"/>
      <c r="R169" s="9"/>
    </row>
    <row r="170" spans="1:18" ht="15.75" thickBot="1">
      <c r="A170" s="56"/>
      <c r="B170" s="57"/>
      <c r="C170" s="58" t="s">
        <v>72</v>
      </c>
      <c r="D170" s="342" t="s">
        <v>28</v>
      </c>
      <c r="E170" s="58"/>
      <c r="F170" s="59"/>
      <c r="G170" s="59"/>
      <c r="H170" s="342"/>
      <c r="I170" s="64" t="s">
        <v>255</v>
      </c>
      <c r="Q170" s="9"/>
      <c r="R170" s="9"/>
    </row>
    <row r="171" spans="1:18" ht="15.75" customHeight="1">
      <c r="A171" s="34">
        <f t="shared" ref="A171:B176" si="32">A34</f>
        <v>1</v>
      </c>
      <c r="B171" s="923" t="str">
        <f t="shared" si="32"/>
        <v/>
      </c>
      <c r="C171" s="950">
        <f t="shared" ref="C171:C176" si="33">IF(D34="",0,IF(OR(F102="New Pond",F102="Unlined"),(D34-(2*F34*G34))*(E34-(2*F34*G34))+SQRT((F34)^2+(2*F34*G34)^2)*((D34+(D34-(2*F34*G34)))+(E34+(E34-(2*F34*G34))))/2+8*(D34+4)+8*(E34+4),"Ex Primary"))</f>
        <v>0</v>
      </c>
      <c r="D171" s="951" t="str">
        <f>IF(B171="","",IF(C171="Ex Primary",0,(8*C171/('Unit Costs'!F$63+'Unit Costs'!F$64+(IF(E102=M$643,'Unit Costs'!F$66,IF(E102=M$644,'Unit Costs'!F$67,IF(E102=M$645,'Unit Costs'!F$68,IF(E102=M$646,'Unit Costs'!F$69,IF(E102=M$647,'Unit Costs'!F$70,"Select Liner"))))))))))</f>
        <v/>
      </c>
      <c r="E171" s="918">
        <f>IF(C171="Ex Primary",0,((IF(E102=M$643,'Unit Costs'!H$66,IF(E102=M$644,'Unit Costs'!H$67,IF(E102=M$645,'Unit Costs'!H$68,IF(E102=M$646,'Unit Costs'!H$69,IF(E102=M$647,'Unit Costs'!H$70,"Select Liner"))))))+('Unit Costs'!H$63+'Unit Costs'!H$64))*C171)</f>
        <v>0</v>
      </c>
      <c r="F171" s="952">
        <f>IF(C171="Ex Primary",0,((IF(E102=M$643,'Unit Costs'!I$66,IF(E102=M$644,'Unit Costs'!I$67,IF(E102=M$645,'Unit Costs'!I$68,IF(E102=M$646,'Unit Costs'!I$69,IF(E102=M$647,'Unit Costs'!I$70,"Select Liner"))))))+('Unit Costs'!I$63+'Unit Costs'!I$64))*C171)</f>
        <v>0</v>
      </c>
      <c r="G171" s="952">
        <f>IF(C171="Ex Primary",0,(IF(E102=M$643,'Unit Costs'!G$66,IF(E102=M$644,'Unit Costs'!G$67,IF(E102=M$645,'Unit Costs'!G$68,IF(E102=M$646,'Unit Costs'!G$69,IF(E102=M$647,'Unit Costs'!G$70,"Select Liner"))))))*C171)</f>
        <v>0</v>
      </c>
      <c r="H171" s="953">
        <f t="shared" ref="H171:H176" si="34">SUM(E171:G171)</f>
        <v>0</v>
      </c>
      <c r="I171" s="927">
        <f>IF(C171=0,0,IF(C171="Ex Primary",0,H171/C171))</f>
        <v>0</v>
      </c>
      <c r="J171" s="69"/>
      <c r="Q171" s="9"/>
      <c r="R171" s="9"/>
    </row>
    <row r="172" spans="1:18">
      <c r="A172" s="34">
        <f t="shared" si="32"/>
        <v>2</v>
      </c>
      <c r="B172" s="923" t="str">
        <f t="shared" si="32"/>
        <v/>
      </c>
      <c r="C172" s="950">
        <f t="shared" si="33"/>
        <v>0</v>
      </c>
      <c r="D172" s="951" t="str">
        <f>IF(B172="","",IF(C172="Ex Primary",0,(8*C172/('Unit Costs'!F$63+'Unit Costs'!F$64+(IF(E103=M$643,'Unit Costs'!F$66,IF(E103=M$644,'Unit Costs'!F$67,IF(E103=M$645,'Unit Costs'!F$68,IF(E103=M$646,'Unit Costs'!F$69,IF(E103=M$647,'Unit Costs'!F$70,"Select Liner"))))))))))</f>
        <v/>
      </c>
      <c r="E172" s="918">
        <f>IF(C172="Ex Primary",0,((IF(E103=M$643,'Unit Costs'!H$66,IF(E103=M$644,'Unit Costs'!H$67,IF(E103=M$645,'Unit Costs'!H$68,IF(E103=M$646,'Unit Costs'!H$69,IF(E103=M$647,'Unit Costs'!H$70,"Select Liner"))))))+('Unit Costs'!H$63+'Unit Costs'!H$64))*C172)</f>
        <v>0</v>
      </c>
      <c r="F172" s="952">
        <f>IF(C172="Ex Primary",0,((IF(E103=M$643,'Unit Costs'!I$66,IF(E103=M$644,'Unit Costs'!I$67,IF(E103=M$645,'Unit Costs'!I$68,IF(E103=M$646,'Unit Costs'!I$69,IF(E103=M$647,'Unit Costs'!I$70,"Select Liner"))))))+('Unit Costs'!I$63+'Unit Costs'!I$64))*C172)</f>
        <v>0</v>
      </c>
      <c r="G172" s="952">
        <f>IF(C172="Ex Primary",0,(IF(E103=M$643,'Unit Costs'!G$66,IF(E103=M$644,'Unit Costs'!G$67,IF(E103=M$645,'Unit Costs'!G$68,IF(E103=M$646,'Unit Costs'!G$69,IF(E103=M$647,'Unit Costs'!G$70,"Select Liner"))))))*C172)</f>
        <v>0</v>
      </c>
      <c r="H172" s="953">
        <f t="shared" si="34"/>
        <v>0</v>
      </c>
      <c r="I172" s="929">
        <f t="shared" ref="I172:I176" si="35">IF(C172=0,0,IF(C172="Ex Primary",0,H172/C172))</f>
        <v>0</v>
      </c>
      <c r="J172" s="69"/>
      <c r="Q172" s="9"/>
      <c r="R172" s="9"/>
    </row>
    <row r="173" spans="1:18">
      <c r="A173" s="34">
        <f t="shared" si="32"/>
        <v>3</v>
      </c>
      <c r="B173" s="923" t="str">
        <f t="shared" si="32"/>
        <v/>
      </c>
      <c r="C173" s="950">
        <f t="shared" si="33"/>
        <v>0</v>
      </c>
      <c r="D173" s="951" t="str">
        <f>IF(B173="","",IF(C173="Ex Primary",0,(8*C173/('Unit Costs'!F$63+'Unit Costs'!F$64+(IF(E104=M$643,'Unit Costs'!F$66,IF(E104=M$644,'Unit Costs'!F$67,IF(E104=M$645,'Unit Costs'!F$68,IF(E104=M$646,'Unit Costs'!F$69,IF(E104=M$647,'Unit Costs'!F$70,"Select Liner"))))))))))</f>
        <v/>
      </c>
      <c r="E173" s="918">
        <f>IF(C173="Ex Primary",0,((IF(E104=M$643,'Unit Costs'!H$66,IF(E104=M$644,'Unit Costs'!H$67,IF(E104=M$645,'Unit Costs'!H$68,IF(E104=M$646,'Unit Costs'!H$69,IF(E104=M$647,'Unit Costs'!H$70,"Select Liner"))))))+('Unit Costs'!H$63+'Unit Costs'!H$64))*C173)</f>
        <v>0</v>
      </c>
      <c r="F173" s="952">
        <f>IF(C173="Ex Primary",0,((IF(E104=M$643,'Unit Costs'!I$66,IF(E104=M$644,'Unit Costs'!I$67,IF(E104=M$645,'Unit Costs'!I$68,IF(E104=M$646,'Unit Costs'!I$69,IF(E104=M$647,'Unit Costs'!I$70,"Select Liner"))))))+('Unit Costs'!I$63+'Unit Costs'!I$64))*C173)</f>
        <v>0</v>
      </c>
      <c r="G173" s="952">
        <f>IF(C173="Ex Primary",0,(IF(E104=M$643,'Unit Costs'!G$66,IF(E104=M$644,'Unit Costs'!G$67,IF(E104=M$645,'Unit Costs'!G$68,IF(E104=M$646,'Unit Costs'!G$69,IF(E104=M$647,'Unit Costs'!G$70,"Select Liner"))))))*C173)</f>
        <v>0</v>
      </c>
      <c r="H173" s="953">
        <f t="shared" si="34"/>
        <v>0</v>
      </c>
      <c r="I173" s="929">
        <f t="shared" si="35"/>
        <v>0</v>
      </c>
      <c r="J173" s="69"/>
      <c r="Q173" s="9"/>
      <c r="R173" s="9"/>
    </row>
    <row r="174" spans="1:18">
      <c r="A174" s="34">
        <f t="shared" si="32"/>
        <v>4</v>
      </c>
      <c r="B174" s="923" t="str">
        <f t="shared" si="32"/>
        <v/>
      </c>
      <c r="C174" s="950">
        <f t="shared" si="33"/>
        <v>0</v>
      </c>
      <c r="D174" s="951" t="str">
        <f>IF(B174="","",IF(C174="Ex Primary",0,(8*C174/('Unit Costs'!F$63+'Unit Costs'!F$64+(IF(E105=M$643,'Unit Costs'!F$66,IF(E105=M$644,'Unit Costs'!F$67,IF(E105=M$645,'Unit Costs'!F$68,IF(E105=M$646,'Unit Costs'!F$69,IF(E105=M$647,'Unit Costs'!F$70,"Select Liner"))))))))))</f>
        <v/>
      </c>
      <c r="E174" s="918">
        <f>IF(C174="Ex Primary",0,((IF(E105=M$643,'Unit Costs'!H$66,IF(E105=M$644,'Unit Costs'!H$67,IF(E105=M$645,'Unit Costs'!H$68,IF(E105=M$646,'Unit Costs'!H$69,IF(E105=M$647,'Unit Costs'!H$70,"Select Liner"))))))+('Unit Costs'!H$63+'Unit Costs'!H$64))*C174)</f>
        <v>0</v>
      </c>
      <c r="F174" s="952">
        <f>IF(C174="Ex Primary",0,((IF(E105=M$643,'Unit Costs'!I$66,IF(E105=M$644,'Unit Costs'!I$67,IF(E105=M$645,'Unit Costs'!I$68,IF(E105=M$646,'Unit Costs'!I$69,IF(E105=M$647,'Unit Costs'!I$70,"Select Liner"))))))+('Unit Costs'!I$63+'Unit Costs'!I$64))*C174)</f>
        <v>0</v>
      </c>
      <c r="G174" s="952">
        <f>IF(C174="Ex Primary",0,(IF(E105=M$643,'Unit Costs'!G$66,IF(E105=M$644,'Unit Costs'!G$67,IF(E105=M$645,'Unit Costs'!G$68,IF(E105=M$646,'Unit Costs'!G$69,IF(E105=M$647,'Unit Costs'!G$70,"Select Liner"))))))*C174)</f>
        <v>0</v>
      </c>
      <c r="H174" s="953">
        <f t="shared" si="34"/>
        <v>0</v>
      </c>
      <c r="I174" s="929">
        <f t="shared" si="35"/>
        <v>0</v>
      </c>
      <c r="J174" s="69"/>
      <c r="Q174" s="9"/>
      <c r="R174" s="9"/>
    </row>
    <row r="175" spans="1:18">
      <c r="A175" s="34">
        <f t="shared" si="32"/>
        <v>5</v>
      </c>
      <c r="B175" s="923" t="str">
        <f t="shared" si="32"/>
        <v/>
      </c>
      <c r="C175" s="950">
        <f t="shared" si="33"/>
        <v>0</v>
      </c>
      <c r="D175" s="951" t="str">
        <f>IF(B175="","",IF(C175="Ex Primary",0,(8*C175/('Unit Costs'!F$63+'Unit Costs'!F$64+(IF(E106=M$643,'Unit Costs'!F$66,IF(E106=M$644,'Unit Costs'!F$67,IF(E106=M$645,'Unit Costs'!F$68,IF(E106=M$646,'Unit Costs'!F$69,IF(E106=M$647,'Unit Costs'!F$70,"Select Liner"))))))))))</f>
        <v/>
      </c>
      <c r="E175" s="918">
        <f>IF(C175="Ex Primary",0,((IF(E106=M$643,'Unit Costs'!H$66,IF(E106=M$644,'Unit Costs'!H$67,IF(E106=M$645,'Unit Costs'!H$68,IF(E106=M$646,'Unit Costs'!H$69,IF(E106=M$647,'Unit Costs'!H$70,"Select Liner"))))))+('Unit Costs'!H$63+'Unit Costs'!H$64))*C175)</f>
        <v>0</v>
      </c>
      <c r="F175" s="952">
        <f>IF(C175="Ex Primary",0,((IF(E106=M$643,'Unit Costs'!I$66,IF(E106=M$644,'Unit Costs'!I$67,IF(E106=M$645,'Unit Costs'!I$68,IF(E106=M$646,'Unit Costs'!I$69,IF(E106=M$647,'Unit Costs'!I$70,"Select Liner"))))))+('Unit Costs'!I$63+'Unit Costs'!I$64))*C175)</f>
        <v>0</v>
      </c>
      <c r="G175" s="952">
        <f>IF(C175="Ex Primary",0,(IF(E106=M$643,'Unit Costs'!G$66,IF(E106=M$644,'Unit Costs'!G$67,IF(E106=M$645,'Unit Costs'!G$68,IF(E106=M$646,'Unit Costs'!G$69,IF(E106=M$647,'Unit Costs'!G$70,"Select Liner"))))))*C175)</f>
        <v>0</v>
      </c>
      <c r="H175" s="953">
        <f t="shared" si="34"/>
        <v>0</v>
      </c>
      <c r="I175" s="929">
        <f t="shared" si="35"/>
        <v>0</v>
      </c>
      <c r="J175" s="69"/>
      <c r="Q175" s="9"/>
      <c r="R175" s="9"/>
    </row>
    <row r="176" spans="1:18" ht="15.75" thickBot="1">
      <c r="A176" s="34">
        <f t="shared" si="32"/>
        <v>6</v>
      </c>
      <c r="B176" s="923" t="str">
        <f t="shared" si="32"/>
        <v/>
      </c>
      <c r="C176" s="950">
        <f t="shared" si="33"/>
        <v>0</v>
      </c>
      <c r="D176" s="951" t="str">
        <f>IF(B176="","",IF(C176="Ex Primary",0,(8*C176/('Unit Costs'!F$63+'Unit Costs'!F$64+(IF(E107=M$643,'Unit Costs'!F$66,IF(E107=M$644,'Unit Costs'!F$67,IF(E107=M$645,'Unit Costs'!F$68,IF(E107=M$646,'Unit Costs'!F$69,IF(E107=M$647,'Unit Costs'!F$70,"Select Liner"))))))))))</f>
        <v/>
      </c>
      <c r="E176" s="918">
        <f>IF(C176="Ex Primary",0,((IF(E107=M$643,'Unit Costs'!H$66,IF(E107=M$644,'Unit Costs'!H$67,IF(E107=M$645,'Unit Costs'!H$68,IF(E107=M$646,'Unit Costs'!H$69,IF(E107=M$647,'Unit Costs'!H$70,"Select Liner"))))))+('Unit Costs'!H$63+'Unit Costs'!H$64))*C176)</f>
        <v>0</v>
      </c>
      <c r="F176" s="952">
        <f>IF(C176="Ex Primary",0,((IF(E107=M$643,'Unit Costs'!I$66,IF(E107=M$644,'Unit Costs'!I$67,IF(E107=M$645,'Unit Costs'!I$68,IF(E107=M$646,'Unit Costs'!I$69,IF(E107=M$647,'Unit Costs'!I$70,"Select Liner"))))))+('Unit Costs'!I$63+'Unit Costs'!I$64))*C176)</f>
        <v>0</v>
      </c>
      <c r="G176" s="952">
        <f>IF(C176="Ex Primary",0,(IF(E107=M$643,'Unit Costs'!G$66,IF(E107=M$644,'Unit Costs'!G$67,IF(E107=M$645,'Unit Costs'!G$68,IF(E107=M$646,'Unit Costs'!G$69,IF(E107=M$647,'Unit Costs'!G$70,"Select Liner"))))))*C176)</f>
        <v>0</v>
      </c>
      <c r="H176" s="953">
        <f t="shared" si="34"/>
        <v>0</v>
      </c>
      <c r="I176" s="929">
        <f t="shared" si="35"/>
        <v>0</v>
      </c>
      <c r="J176" s="69"/>
      <c r="Q176" s="9"/>
      <c r="R176" s="9"/>
    </row>
    <row r="177" spans="1:18" ht="15.75" thickBot="1">
      <c r="A177" s="48"/>
      <c r="B177" s="48"/>
      <c r="C177" s="954">
        <f t="shared" ref="C177:H177" si="36">SUM(C171:C176)</f>
        <v>0</v>
      </c>
      <c r="D177" s="955">
        <f t="shared" si="36"/>
        <v>0</v>
      </c>
      <c r="E177" s="920">
        <f t="shared" si="36"/>
        <v>0</v>
      </c>
      <c r="F177" s="920">
        <f t="shared" si="36"/>
        <v>0</v>
      </c>
      <c r="G177" s="920">
        <f t="shared" si="36"/>
        <v>0</v>
      </c>
      <c r="H177" s="922">
        <f t="shared" si="36"/>
        <v>0</v>
      </c>
      <c r="I177" s="454"/>
      <c r="Q177" s="9"/>
      <c r="R177" s="9"/>
    </row>
    <row r="178" spans="1:18">
      <c r="A178" s="9"/>
      <c r="B178" s="9"/>
      <c r="C178" s="335"/>
      <c r="D178" s="71"/>
      <c r="E178" s="72"/>
      <c r="F178" s="72"/>
      <c r="G178" s="72"/>
      <c r="H178" s="72"/>
      <c r="I178" s="72"/>
      <c r="Q178" s="9"/>
      <c r="R178" s="9"/>
    </row>
    <row r="179" spans="1:18">
      <c r="A179" s="9"/>
      <c r="B179" s="9" t="s">
        <v>262</v>
      </c>
      <c r="C179" s="335"/>
      <c r="D179" s="71"/>
      <c r="E179" s="72"/>
      <c r="F179" s="72"/>
      <c r="G179" s="72"/>
      <c r="H179" s="72"/>
      <c r="I179" s="72"/>
      <c r="Q179" s="9"/>
      <c r="R179" s="9"/>
    </row>
    <row r="180" spans="1:18">
      <c r="C180" s="71"/>
      <c r="D180" s="72"/>
      <c r="E180" s="72"/>
      <c r="F180" s="72"/>
      <c r="G180" s="72"/>
      <c r="H180" s="9"/>
      <c r="Q180" s="9"/>
      <c r="R180" s="9"/>
    </row>
    <row r="181" spans="1:18" ht="15.75" thickBot="1">
      <c r="A181" s="9"/>
      <c r="B181" s="9"/>
      <c r="C181" s="71"/>
      <c r="D181" s="72"/>
      <c r="E181" s="72"/>
      <c r="F181" s="72"/>
      <c r="G181" s="9"/>
      <c r="H181" s="9"/>
      <c r="R181" s="9"/>
    </row>
    <row r="182" spans="1:18" ht="18.75" thickBot="1">
      <c r="A182" s="125" t="s">
        <v>83</v>
      </c>
      <c r="B182" s="11"/>
      <c r="C182" s="52"/>
      <c r="D182" s="52"/>
      <c r="E182" s="11"/>
      <c r="F182" s="11"/>
      <c r="G182" s="11"/>
      <c r="H182" s="11"/>
      <c r="I182" s="12"/>
      <c r="R182" s="9"/>
    </row>
    <row r="183" spans="1:18" ht="16.5" thickBot="1">
      <c r="A183" s="53"/>
      <c r="B183" s="54"/>
      <c r="C183" s="343"/>
      <c r="D183" s="344"/>
      <c r="E183" s="345"/>
      <c r="F183" s="339"/>
      <c r="G183" s="339"/>
      <c r="H183" s="341"/>
      <c r="I183" s="51"/>
      <c r="R183" s="9"/>
    </row>
    <row r="184" spans="1:18" ht="46.5" customHeight="1">
      <c r="A184" s="1096" t="s">
        <v>18</v>
      </c>
      <c r="B184" s="1097"/>
      <c r="C184" s="1031" t="s">
        <v>80</v>
      </c>
      <c r="D184" s="1015" t="s">
        <v>31</v>
      </c>
      <c r="E184" s="1031" t="s">
        <v>32</v>
      </c>
      <c r="F184" s="1030" t="s">
        <v>33</v>
      </c>
      <c r="G184" s="1030" t="s">
        <v>53</v>
      </c>
      <c r="H184" s="1015" t="s">
        <v>81</v>
      </c>
      <c r="I184" s="1032" t="s">
        <v>505</v>
      </c>
      <c r="R184" s="9"/>
    </row>
    <row r="185" spans="1:18" ht="15.75" thickBot="1">
      <c r="A185" s="56"/>
      <c r="B185" s="57"/>
      <c r="C185" s="58" t="s">
        <v>72</v>
      </c>
      <c r="D185" s="342" t="s">
        <v>28</v>
      </c>
      <c r="E185" s="58"/>
      <c r="F185" s="59"/>
      <c r="G185" s="59"/>
      <c r="H185" s="342"/>
      <c r="I185" s="64" t="s">
        <v>255</v>
      </c>
      <c r="R185" s="9"/>
    </row>
    <row r="186" spans="1:18">
      <c r="A186" s="34">
        <f t="shared" ref="A186:B191" si="37">A34</f>
        <v>1</v>
      </c>
      <c r="B186" s="923" t="str">
        <f t="shared" si="37"/>
        <v/>
      </c>
      <c r="C186" s="950">
        <f>IF(D34="",0,IF(F102="Double Liner",F102,IF(F102="Single Liner",((D34-(2*F34*G34))*(E34-(2*F34*G34))+SQRT((F34)^2+(2*F34*G34)^2)*((D34+(D34-(2*F34*G34)))+(E34+(E34-(2*F34*G34))))/2+8*(D34+4)+8*(E34+4)),IF(E102=$M$645,"Drain Liner",((D34-(2*F34*G34))*(E34-(2*F34*G34))+SQRT((F34)^2+(2*F34*G34)^2)*((D34+(D34-(2*F34*G34)))+(E34+(E34-(2*F34*G34))))/2+8*(D34+4)+8*(E34+4))))))</f>
        <v>0</v>
      </c>
      <c r="D186" s="951">
        <f>IF(F102="Double Liner",0,IF(F102="Single Liner",C186/'Unit Costs'!F$67,IF(E102=$M$645,0,C186/'Unit Costs'!F$67)))</f>
        <v>0</v>
      </c>
      <c r="E186" s="918">
        <f>IF(F102="Double Liner",0,IF(F102="Single Liner",'Unit Costs'!H$67*C186*0.9,IF(E102=$M$645,0,'Unit Costs'!H$67*C186*0.9)))</f>
        <v>0</v>
      </c>
      <c r="F186" s="952">
        <f>IF(F102="Double Liner",0,IF(F102="Single Liner",'Unit Costs'!I$67*C186*0.9,IF(E102=$M$645,0,'Unit Costs'!I$67*C186*0.9)))</f>
        <v>0</v>
      </c>
      <c r="G186" s="952">
        <f>IF(F102="Double Liner",0,IF(F102="Single Liner",'Unit Costs'!G$67*C186*0.9,IF(E102=$M$645,0,'Unit Costs'!G$67*C186*0.9)))</f>
        <v>0</v>
      </c>
      <c r="H186" s="956">
        <f t="shared" ref="H186" si="38">SUM(E186:G186)</f>
        <v>0</v>
      </c>
      <c r="I186" s="927">
        <f>IF(C186=0,0,IF(C186="Double Liner",0,IF(F102="Single Liner",H186/C186,IF(E102=$M$645,0,H186/C186))))</f>
        <v>0</v>
      </c>
      <c r="R186" s="9"/>
    </row>
    <row r="187" spans="1:18" ht="15.75">
      <c r="A187" s="34">
        <f t="shared" si="37"/>
        <v>2</v>
      </c>
      <c r="B187" s="923" t="str">
        <f t="shared" si="37"/>
        <v/>
      </c>
      <c r="C187" s="950">
        <f t="shared" ref="C187:C191" si="39">IF(D35="",0,IF(F103="Double Liner",F103,IF(F103="Single Liner",((D35-(2*F35*G35))*(E35-(2*F35*G35))+SQRT((F35)^2+(2*F35*G35)^2)*((D35+(D35-(2*F35*G35)))+(E35+(E35-(2*F35*G35))))/2+8*(D35+4)+8*(E35+4)),IF(E103=$M$645,"Drain Liner",((D35-(2*F35*G35))*(E35-(2*F35*G35))+SQRT((F35)^2+(2*F35*G35)^2)*((D35+(D35-(2*F35*G35)))+(E35+(E35-(2*F35*G35))))/2+8*(D35+4)+8*(E35+4))))))</f>
        <v>0</v>
      </c>
      <c r="D187" s="951">
        <f>IF(F103="Double Liner",0,IF(F103="Single Liner",C187/'Unit Costs'!F$67,IF(E103=$M$645,0,C187/'Unit Costs'!F$67)))</f>
        <v>0</v>
      </c>
      <c r="E187" s="918">
        <f>IF(F103="Double Liner",0,IF(F103="Single Liner",'Unit Costs'!H$67*C187*0.9,IF(E103=$M$645,0,'Unit Costs'!H$67*C187*0.9)))</f>
        <v>0</v>
      </c>
      <c r="F187" s="952">
        <f>IF(F103="Double Liner",0,IF(F103="Single Liner",'Unit Costs'!I$67*C187*0.9,IF(E103=$M$645,0,'Unit Costs'!I$67*C187*0.9)))</f>
        <v>0</v>
      </c>
      <c r="G187" s="952">
        <f>IF(F103="Double Liner",0,IF(F103="Single Liner",'Unit Costs'!G$67*C187*0.9,IF(E103=$M$645,0,'Unit Costs'!G$67*C187*0.9)))</f>
        <v>0</v>
      </c>
      <c r="H187" s="953">
        <f t="shared" ref="H187:H191" si="40">SUM(E187:G187)</f>
        <v>0</v>
      </c>
      <c r="I187" s="929">
        <f t="shared" ref="I187:I191" si="41">IF(C187=0,0,IF(C187="Double Liner",0,IF(F103="Single Liner",H187/C187,IF(E103=$M$645,0,H187/C187))))</f>
        <v>0</v>
      </c>
      <c r="L187" s="143"/>
      <c r="M187" s="143"/>
      <c r="N187" s="143"/>
      <c r="O187" s="143"/>
      <c r="P187" s="143"/>
      <c r="R187" s="9"/>
    </row>
    <row r="188" spans="1:18" ht="15.75">
      <c r="A188" s="34">
        <f t="shared" si="37"/>
        <v>3</v>
      </c>
      <c r="B188" s="923" t="str">
        <f t="shared" si="37"/>
        <v/>
      </c>
      <c r="C188" s="950">
        <f t="shared" si="39"/>
        <v>0</v>
      </c>
      <c r="D188" s="951">
        <f>IF(F104="Double Liner",0,IF(F104="Single Liner",C188/'Unit Costs'!F$67,IF(E104=$M$645,0,C188/'Unit Costs'!F$67)))</f>
        <v>0</v>
      </c>
      <c r="E188" s="918">
        <f>IF(F104="Double Liner",0,IF(F104="Single Liner",'Unit Costs'!H$67*C188*0.9,IF(E104=$M$645,0,'Unit Costs'!H$67*C188*0.9)))</f>
        <v>0</v>
      </c>
      <c r="F188" s="952">
        <f>IF(F104="Double Liner",0,IF(F104="Single Liner",'Unit Costs'!I$67*C188*0.9,IF(E104=$M$645,0,'Unit Costs'!I$67*C188*0.9)))</f>
        <v>0</v>
      </c>
      <c r="G188" s="952">
        <f>IF(F104="Double Liner",0,IF(F104="Single Liner",'Unit Costs'!G$67*C188*0.9,IF(E104=$M$645,0,'Unit Costs'!G$67*C188*0.9)))</f>
        <v>0</v>
      </c>
      <c r="H188" s="953">
        <f t="shared" si="40"/>
        <v>0</v>
      </c>
      <c r="I188" s="929">
        <f t="shared" si="41"/>
        <v>0</v>
      </c>
      <c r="L188" s="144"/>
      <c r="M188" s="144"/>
      <c r="N188" s="144"/>
      <c r="O188" s="136"/>
      <c r="P188" s="137"/>
      <c r="R188" s="9"/>
    </row>
    <row r="189" spans="1:18">
      <c r="A189" s="34">
        <f t="shared" si="37"/>
        <v>4</v>
      </c>
      <c r="B189" s="923" t="str">
        <f t="shared" si="37"/>
        <v/>
      </c>
      <c r="C189" s="950">
        <f t="shared" si="39"/>
        <v>0</v>
      </c>
      <c r="D189" s="951">
        <f>IF(F105="Double Liner",0,IF(F105="Single Liner",C189/'Unit Costs'!F$67,IF(E105=$M$645,0,C189/'Unit Costs'!F$67)))</f>
        <v>0</v>
      </c>
      <c r="E189" s="918">
        <f>IF(F105="Double Liner",0,IF(F105="Single Liner",'Unit Costs'!H$67*C189*0.9,IF(E105=$M$645,0,'Unit Costs'!H$67*C189*0.9)))</f>
        <v>0</v>
      </c>
      <c r="F189" s="952">
        <f>IF(F105="Double Liner",0,IF(F105="Single Liner",'Unit Costs'!I$67*C189*0.9,IF(E105=$M$645,0,'Unit Costs'!I$67*C189*0.9)))</f>
        <v>0</v>
      </c>
      <c r="G189" s="952">
        <f>IF(F105="Double Liner",0,IF(F105="Single Liner",'Unit Costs'!G$67*C189*0.9,IF(E105=$M$645,0,'Unit Costs'!G$67*C189*0.9)))</f>
        <v>0</v>
      </c>
      <c r="H189" s="953">
        <f t="shared" si="40"/>
        <v>0</v>
      </c>
      <c r="I189" s="929">
        <f t="shared" si="41"/>
        <v>0</v>
      </c>
      <c r="L189" s="139"/>
      <c r="M189" s="139"/>
      <c r="N189" s="138"/>
      <c r="O189" s="139"/>
      <c r="P189" s="139"/>
      <c r="R189" s="9"/>
    </row>
    <row r="190" spans="1:18">
      <c r="A190" s="34">
        <f t="shared" si="37"/>
        <v>5</v>
      </c>
      <c r="B190" s="923" t="str">
        <f t="shared" si="37"/>
        <v/>
      </c>
      <c r="C190" s="950">
        <f t="shared" si="39"/>
        <v>0</v>
      </c>
      <c r="D190" s="951">
        <f>IF(F106="Double Liner",0,IF(F106="Single Liner",C190/'Unit Costs'!F$67,IF(E106=$M$645,0,C190/'Unit Costs'!F$67)))</f>
        <v>0</v>
      </c>
      <c r="E190" s="918">
        <f>IF(F106="Double Liner",0,IF(F106="Single Liner",'Unit Costs'!H$67*C190*0.9,IF(E106=$M$645,0,'Unit Costs'!H$67*C190*0.9)))</f>
        <v>0</v>
      </c>
      <c r="F190" s="952">
        <f>IF(F106="Double Liner",0,IF(F106="Single Liner",'Unit Costs'!I$67*C190*0.9,IF(E106=$M$645,0,'Unit Costs'!I$67*C190*0.9)))</f>
        <v>0</v>
      </c>
      <c r="G190" s="952">
        <f>IF(F106="Double Liner",0,IF(F106="Single Liner",'Unit Costs'!G$67*C190*0.9,IF(E106=$M$645,0,'Unit Costs'!G$67*C190*0.9)))</f>
        <v>0</v>
      </c>
      <c r="H190" s="953">
        <f t="shared" si="40"/>
        <v>0</v>
      </c>
      <c r="I190" s="929">
        <f t="shared" si="41"/>
        <v>0</v>
      </c>
      <c r="K190" s="658"/>
      <c r="L190" s="139"/>
      <c r="M190" s="139"/>
      <c r="N190" s="138"/>
      <c r="O190" s="139"/>
      <c r="P190" s="139"/>
      <c r="R190" s="9"/>
    </row>
    <row r="191" spans="1:18" ht="15.75" thickBot="1">
      <c r="A191" s="34">
        <f t="shared" si="37"/>
        <v>6</v>
      </c>
      <c r="B191" s="923" t="str">
        <f t="shared" si="37"/>
        <v/>
      </c>
      <c r="C191" s="950">
        <f t="shared" si="39"/>
        <v>0</v>
      </c>
      <c r="D191" s="951">
        <f>IF(F107="Double Liner",0,IF(F107="Single Liner",C191/'Unit Costs'!F$67,IF(E107=$M$645,0,C191/'Unit Costs'!F$67)))</f>
        <v>0</v>
      </c>
      <c r="E191" s="918">
        <f>IF(F107="Double Liner",0,IF(F107="Single Liner",'Unit Costs'!H$67*C191*0.9,IF(E107=$M$645,0,'Unit Costs'!H$67*C191*0.9)))</f>
        <v>0</v>
      </c>
      <c r="F191" s="952">
        <f>IF(F107="Double Liner",0,IF(F107="Single Liner",'Unit Costs'!I$67*C191*0.9,IF(E107=$M$645,0,'Unit Costs'!I$67*C191*0.9)))</f>
        <v>0</v>
      </c>
      <c r="G191" s="952">
        <f>IF(F107="Double Liner",0,IF(F107="Single Liner",'Unit Costs'!G$67*C191*0.9,IF(E107=$M$645,0,'Unit Costs'!G$67*C191*0.9)))</f>
        <v>0</v>
      </c>
      <c r="H191" s="953">
        <f t="shared" si="40"/>
        <v>0</v>
      </c>
      <c r="I191" s="929">
        <f t="shared" si="41"/>
        <v>0</v>
      </c>
      <c r="L191" s="139"/>
      <c r="M191" s="1054"/>
      <c r="N191" s="138"/>
      <c r="O191" s="139"/>
      <c r="P191" s="139"/>
      <c r="R191" s="9"/>
    </row>
    <row r="192" spans="1:18" ht="15.75" thickBot="1">
      <c r="A192" s="48"/>
      <c r="B192" s="48"/>
      <c r="C192" s="561">
        <f t="shared" ref="C192:H192" si="42">SUM(C186:C191)</f>
        <v>0</v>
      </c>
      <c r="D192" s="562">
        <f t="shared" si="42"/>
        <v>0</v>
      </c>
      <c r="E192" s="559">
        <f t="shared" si="42"/>
        <v>0</v>
      </c>
      <c r="F192" s="559">
        <f t="shared" si="42"/>
        <v>0</v>
      </c>
      <c r="G192" s="559">
        <f t="shared" si="42"/>
        <v>0</v>
      </c>
      <c r="H192" s="560">
        <f t="shared" si="42"/>
        <v>0</v>
      </c>
      <c r="I192" s="454"/>
      <c r="L192" s="140"/>
      <c r="M192" s="140"/>
      <c r="N192" s="140"/>
      <c r="O192" s="121"/>
      <c r="P192" s="121"/>
      <c r="R192" s="9"/>
    </row>
    <row r="193" spans="1:18">
      <c r="A193" s="9"/>
      <c r="B193" s="9"/>
      <c r="C193" s="71"/>
      <c r="D193" s="72"/>
      <c r="E193" s="72"/>
      <c r="F193" s="72"/>
      <c r="G193" s="72"/>
      <c r="H193" s="9"/>
      <c r="I193" s="9"/>
      <c r="L193" s="140"/>
      <c r="M193" s="140"/>
      <c r="N193" s="140"/>
      <c r="O193" s="140"/>
      <c r="P193" s="140"/>
      <c r="R193" s="9"/>
    </row>
    <row r="194" spans="1:18">
      <c r="A194" s="9"/>
      <c r="B194" s="9" t="s">
        <v>645</v>
      </c>
      <c r="C194" s="71"/>
      <c r="D194" s="72"/>
      <c r="E194" s="72"/>
      <c r="F194" s="72"/>
      <c r="G194" s="72"/>
      <c r="H194" s="9"/>
      <c r="I194" s="9"/>
      <c r="L194" s="140"/>
      <c r="M194" s="140"/>
      <c r="N194" s="140"/>
      <c r="O194" s="140"/>
      <c r="P194" s="140"/>
      <c r="R194" s="9"/>
    </row>
    <row r="195" spans="1:18">
      <c r="A195" s="9"/>
      <c r="B195" s="9"/>
      <c r="C195" s="71"/>
      <c r="D195" s="72"/>
      <c r="E195" s="72"/>
      <c r="F195" s="72"/>
      <c r="G195" s="72"/>
      <c r="H195" s="9"/>
      <c r="I195" s="9"/>
      <c r="L195" s="140"/>
      <c r="M195" s="140"/>
      <c r="N195" s="140"/>
      <c r="O195" s="140"/>
      <c r="P195" s="140"/>
      <c r="R195" s="9"/>
    </row>
    <row r="196" spans="1:18" ht="15.75" thickBot="1">
      <c r="A196" s="9"/>
      <c r="B196" s="9"/>
      <c r="C196" s="71"/>
      <c r="D196" s="72"/>
      <c r="E196" s="72"/>
      <c r="F196" s="72"/>
      <c r="G196" s="9"/>
      <c r="H196" s="9"/>
      <c r="I196" s="9"/>
      <c r="L196" s="140"/>
      <c r="M196" s="140"/>
      <c r="N196" s="140"/>
      <c r="O196" s="140"/>
      <c r="P196" s="140"/>
      <c r="R196" s="9"/>
    </row>
    <row r="197" spans="1:18" ht="18.75" thickBot="1">
      <c r="A197" s="67" t="s">
        <v>341</v>
      </c>
      <c r="B197" s="11"/>
      <c r="C197" s="52"/>
      <c r="D197" s="52"/>
      <c r="E197" s="11"/>
      <c r="F197" s="11"/>
      <c r="G197" s="11"/>
      <c r="H197" s="11"/>
      <c r="I197" s="12"/>
      <c r="L197" s="140"/>
      <c r="M197" s="140"/>
      <c r="N197" s="140"/>
      <c r="O197" s="140"/>
      <c r="P197" s="140"/>
      <c r="R197" s="9"/>
    </row>
    <row r="198" spans="1:18" ht="16.5" thickBot="1">
      <c r="A198" s="53"/>
      <c r="B198" s="54"/>
      <c r="C198" s="55"/>
      <c r="D198" s="344"/>
      <c r="E198" s="327"/>
      <c r="F198" s="339"/>
      <c r="G198" s="327"/>
      <c r="H198" s="341"/>
      <c r="I198" s="51"/>
      <c r="L198" s="140"/>
      <c r="M198" s="140"/>
      <c r="N198" s="140"/>
      <c r="O198" s="121"/>
      <c r="P198" s="121"/>
      <c r="R198" s="9"/>
    </row>
    <row r="199" spans="1:18" ht="54.75" customHeight="1">
      <c r="A199" s="1096" t="s">
        <v>18</v>
      </c>
      <c r="B199" s="1097"/>
      <c r="C199" s="1034" t="s">
        <v>71</v>
      </c>
      <c r="D199" s="1015" t="s">
        <v>31</v>
      </c>
      <c r="E199" s="138" t="s">
        <v>32</v>
      </c>
      <c r="F199" s="1030" t="s">
        <v>33</v>
      </c>
      <c r="G199" s="138" t="s">
        <v>53</v>
      </c>
      <c r="H199" s="1015" t="s">
        <v>68</v>
      </c>
      <c r="I199" s="1032" t="s">
        <v>505</v>
      </c>
      <c r="M199" s="140"/>
      <c r="N199" s="140"/>
      <c r="O199" s="121"/>
      <c r="P199" s="121"/>
      <c r="R199" s="9"/>
    </row>
    <row r="200" spans="1:18" ht="15.75" thickBot="1">
      <c r="A200" s="56"/>
      <c r="B200" s="57"/>
      <c r="C200" s="338" t="s">
        <v>72</v>
      </c>
      <c r="D200" s="342" t="s">
        <v>28</v>
      </c>
      <c r="E200" s="340"/>
      <c r="F200" s="59"/>
      <c r="G200" s="340"/>
      <c r="H200" s="342"/>
      <c r="I200" s="64" t="s">
        <v>255</v>
      </c>
      <c r="M200" s="140"/>
      <c r="N200" s="140"/>
      <c r="O200" s="121"/>
      <c r="P200" s="121"/>
      <c r="R200" s="9"/>
    </row>
    <row r="201" spans="1:18">
      <c r="A201" s="34">
        <f t="shared" ref="A201:B206" si="43">A34</f>
        <v>1</v>
      </c>
      <c r="B201" s="957" t="str">
        <f t="shared" si="43"/>
        <v/>
      </c>
      <c r="C201" s="958">
        <f t="shared" ref="C201:C206" si="44">IF(F102="Double Liner","Double Liner",IF(D34="",0,((D34-(2*F34*G34))*(E34-(2*F34*G34))+SQRT((F34)^2+(2*F34*G34)^2)*((D34+(D34-(2*F34*G34)))+(E34+(E34-(2*F34*G34))))/2+8*(D34+4)+8*(E34+4))))</f>
        <v>0</v>
      </c>
      <c r="D201" s="951">
        <f>IF(C201="Double Liner",0,IF(D102=M$645,"Select Liner",C201/(IF(D102=M$643,'Unit Costs'!F$66,IF(D102=M$644,'Unit Costs'!F$67,IF(D102=M$646,'Unit Costs'!F$69,IF(D102=M$647,'Unit Costs'!F$70,"Liner Error")))))))</f>
        <v>0</v>
      </c>
      <c r="E201" s="959">
        <f>IF(C201="Double Liner",0,IF(D102=M$645,"Select Liner",(IF(D102=M$643,'Unit Costs'!H$66,IF(D102=M$644,'Unit Costs'!H$67,IF(D102=M$646,'Unit Costs'!H$69,IF(D102=M$647,'Unit Costs'!H$70,"Liner Error")))))*C201*1.15))</f>
        <v>0</v>
      </c>
      <c r="F201" s="952">
        <f>IF(C201="Double Liner",0,IF(D102=M$645,"Select Liner",(IF(D102=M$643,'Unit Costs'!I$66,IF(D102=M$644,'Unit Costs'!I$67,IF(D102=M$646,'Unit Costs'!I$69,IF(D102=M$647,'Unit Costs'!I$70,"Liner Error")))))*C201*1.15))</f>
        <v>0</v>
      </c>
      <c r="G201" s="960">
        <f>IF(C201="Double Liner",0,IF(D102=M$645,"Select Liner",(IF(D102=M$643,'Unit Costs'!G$66,IF(D102=M$644,'Unit Costs'!G$67,IF(D102=M$646,'Unit Costs'!G$69,IF(D102=M$647,'Unit Costs'!G$70,"Liner Error")))))*C201*1.15))</f>
        <v>0</v>
      </c>
      <c r="H201" s="953">
        <f t="shared" ref="H201:H206" si="45">IF(D102=M$645,"Select Liner",SUM(E201:G201))</f>
        <v>0</v>
      </c>
      <c r="I201" s="927">
        <f t="shared" ref="I201:I206" si="46">IF(C215=0,0,IF(C215="Double Liner",0,H201/C201))</f>
        <v>0</v>
      </c>
      <c r="L201" s="1056"/>
      <c r="M201" s="121"/>
      <c r="N201" s="121"/>
      <c r="O201" s="121"/>
      <c r="P201" s="141"/>
      <c r="R201" s="9"/>
    </row>
    <row r="202" spans="1:18">
      <c r="A202" s="34">
        <f t="shared" si="43"/>
        <v>2</v>
      </c>
      <c r="B202" s="923" t="str">
        <f t="shared" si="43"/>
        <v/>
      </c>
      <c r="C202" s="958">
        <f t="shared" si="44"/>
        <v>0</v>
      </c>
      <c r="D202" s="951">
        <f>IF(C202="Double Liner",0,IF(D103=M$645,"Select Liner",C202/(IF(D103=M$643,'Unit Costs'!F$66,IF(D103=M$644,'Unit Costs'!F$67,IF(D103=M$646,'Unit Costs'!F$69,IF(D103=M$647,'Unit Costs'!F$70,"Liner Error")))))))</f>
        <v>0</v>
      </c>
      <c r="E202" s="959">
        <f>IF(C202="Double Liner",0,IF(D103=M$645,"Select Liner",(IF(D103=M$643,'Unit Costs'!H$66,IF(D103=M$644,'Unit Costs'!H$67,IF(D103=M$646,'Unit Costs'!H$69,IF(D103=M$647,'Unit Costs'!H$70,"Liner Error")))))*C202*1.15))</f>
        <v>0</v>
      </c>
      <c r="F202" s="952">
        <f>IF(C202="Double Liner",0,IF(D103=M$645,"Select Liner",(IF(D103=M$643,'Unit Costs'!I$66,IF(D103=M$644,'Unit Costs'!I$67,IF(D103=M$646,'Unit Costs'!I$69,IF(D103=M$647,'Unit Costs'!I$70,"Liner Error")))))*C202*1.15))</f>
        <v>0</v>
      </c>
      <c r="G202" s="959">
        <f>IF(C202="Double Liner",0,IF(D103=M$645,"Select Liner",(IF(D103=M$643,'Unit Costs'!G$66,IF(D103=M$644,'Unit Costs'!G$67,IF(D103=M$646,'Unit Costs'!G$69,IF(D103=M$647,'Unit Costs'!G$70,"Liner Error")))))*C202*1.15))</f>
        <v>0</v>
      </c>
      <c r="H202" s="953">
        <f t="shared" si="45"/>
        <v>0</v>
      </c>
      <c r="I202" s="929">
        <f t="shared" si="46"/>
        <v>0</v>
      </c>
      <c r="M202" s="121"/>
      <c r="N202" s="121"/>
      <c r="O202" s="121"/>
      <c r="P202" s="121"/>
      <c r="R202" s="9"/>
    </row>
    <row r="203" spans="1:18">
      <c r="A203" s="34">
        <f t="shared" si="43"/>
        <v>3</v>
      </c>
      <c r="B203" s="923" t="str">
        <f t="shared" si="43"/>
        <v/>
      </c>
      <c r="C203" s="958">
        <f t="shared" si="44"/>
        <v>0</v>
      </c>
      <c r="D203" s="951">
        <f>IF(C203="Double Liner",0,IF(D104=M$645,"Select Liner",C203/(IF(D104=M$643,'Unit Costs'!F$66,IF(D104=M$644,'Unit Costs'!F$67,IF(D104=M$646,'Unit Costs'!F$69,IF(D104=M$647,'Unit Costs'!F$70,"Liner Error")))))))</f>
        <v>0</v>
      </c>
      <c r="E203" s="959">
        <f>IF(C203="Double Liner",0,IF(D104=M$645,"Select Liner",(IF(D104=M$643,'Unit Costs'!H$66,IF(D104=M$644,'Unit Costs'!H$67,IF(D104=M$646,'Unit Costs'!H$69,IF(D104=M$647,'Unit Costs'!H$70,"Liner Error")))))*C203*1.15))</f>
        <v>0</v>
      </c>
      <c r="F203" s="952">
        <f>IF(C203="Double Liner",0,IF(D104=M$645,"Select Liner",(IF(D104=M$643,'Unit Costs'!I$66,IF(D104=M$644,'Unit Costs'!I$67,IF(D104=M$646,'Unit Costs'!I$69,IF(D104=M$647,'Unit Costs'!I$70,"Liner Error")))))*C203*1.15))</f>
        <v>0</v>
      </c>
      <c r="G203" s="959">
        <f>IF(C203="Double Liner",0,IF(D104=M$645,"Select Liner",(IF(D104=M$643,'Unit Costs'!G$66,IF(D104=M$644,'Unit Costs'!G$67,IF(D104=M$646,'Unit Costs'!G$69,IF(D104=M$647,'Unit Costs'!G$70,"Liner Error")))))*C203*1.15))</f>
        <v>0</v>
      </c>
      <c r="H203" s="953">
        <f t="shared" si="45"/>
        <v>0</v>
      </c>
      <c r="I203" s="929">
        <f t="shared" si="46"/>
        <v>0</v>
      </c>
      <c r="L203" s="121"/>
      <c r="M203" s="121"/>
      <c r="N203" s="121"/>
      <c r="O203" s="121"/>
      <c r="P203" s="121"/>
      <c r="R203" s="9"/>
    </row>
    <row r="204" spans="1:18">
      <c r="A204" s="34">
        <f t="shared" si="43"/>
        <v>4</v>
      </c>
      <c r="B204" s="923" t="str">
        <f t="shared" si="43"/>
        <v/>
      </c>
      <c r="C204" s="958">
        <f t="shared" si="44"/>
        <v>0</v>
      </c>
      <c r="D204" s="951">
        <f>IF(C204="Double Liner",0,IF(D105=M$645,"Select Liner",C204/(IF(D105=M$643,'Unit Costs'!F$66,IF(D105=M$644,'Unit Costs'!F$67,IF(D105=M$646,'Unit Costs'!F$69,IF(D105=M$647,'Unit Costs'!F$70,"Liner Error")))))))</f>
        <v>0</v>
      </c>
      <c r="E204" s="959">
        <f>IF(C204="Double Liner",0,IF(D105=M$645,"Select Liner",(IF(D105=M$643,'Unit Costs'!H$66,IF(D105=M$644,'Unit Costs'!H$67,IF(D105=M$646,'Unit Costs'!H$69,IF(D105=M$647,'Unit Costs'!H$70,"Liner Error")))))*C204*1.15))</f>
        <v>0</v>
      </c>
      <c r="F204" s="952">
        <f>IF(C204="Double Liner",0,IF(D105=M$645,"Select Liner",(IF(D105=M$643,'Unit Costs'!I$66,IF(D105=M$644,'Unit Costs'!I$67,IF(D105=M$646,'Unit Costs'!I$69,IF(D105=M$647,'Unit Costs'!I$70,"Liner Error")))))*C204*1.15))</f>
        <v>0</v>
      </c>
      <c r="G204" s="959">
        <f>IF(C204="Double Liner",0,IF(D105=M$645,"Select Liner",(IF(D105=M$643,'Unit Costs'!G$66,IF(D105=M$644,'Unit Costs'!G$67,IF(D105=M$646,'Unit Costs'!G$69,IF(D105=M$647,'Unit Costs'!G$70,"Liner Error")))))*C204*1.15))</f>
        <v>0</v>
      </c>
      <c r="H204" s="953">
        <f t="shared" si="45"/>
        <v>0</v>
      </c>
      <c r="I204" s="929">
        <f t="shared" si="46"/>
        <v>0</v>
      </c>
      <c r="M204" s="142"/>
      <c r="N204" s="121"/>
      <c r="O204" s="121"/>
      <c r="P204" s="121"/>
      <c r="Q204" s="9"/>
      <c r="R204" s="9"/>
    </row>
    <row r="205" spans="1:18">
      <c r="A205" s="34">
        <f t="shared" si="43"/>
        <v>5</v>
      </c>
      <c r="B205" s="923" t="str">
        <f t="shared" si="43"/>
        <v/>
      </c>
      <c r="C205" s="958">
        <f t="shared" si="44"/>
        <v>0</v>
      </c>
      <c r="D205" s="951">
        <f>IF(C205="Double Liner",0,IF(D106=M$645,"Select Liner",C205/(IF(D106=M$643,'Unit Costs'!F$66,IF(D106=M$644,'Unit Costs'!F$67,IF(D106=M$646,'Unit Costs'!F$69,IF(D106=M$647,'Unit Costs'!F$70,"Liner Error")))))))</f>
        <v>0</v>
      </c>
      <c r="E205" s="959">
        <f>IF(C205="Double Liner",0,IF(D106=M$645,"Select Liner",(IF(D106=M$643,'Unit Costs'!H$66,IF(D106=M$644,'Unit Costs'!H$67,IF(D106=M$646,'Unit Costs'!H$69,IF(D106=M$647,'Unit Costs'!H$70,"Liner Error")))))*C205*1.15))</f>
        <v>0</v>
      </c>
      <c r="F205" s="952">
        <f>IF(C205="Double Liner",0,IF(D106=M$645,"Select Liner",(IF(D106=M$643,'Unit Costs'!I$66,IF(D106=M$644,'Unit Costs'!I$67,IF(D106=M$646,'Unit Costs'!I$69,IF(D106=M$647,'Unit Costs'!I$70,"Liner Error")))))*C205*1.15))</f>
        <v>0</v>
      </c>
      <c r="G205" s="959">
        <f>IF(C205="Double Liner",0,IF(D106=M$645,"Select Liner",(IF(D106=M$643,'Unit Costs'!G$66,IF(D106=M$644,'Unit Costs'!G$67,IF(D106=M$646,'Unit Costs'!G$69,IF(D106=M$647,'Unit Costs'!G$70,"Liner Error")))))*C205*1.15))</f>
        <v>0</v>
      </c>
      <c r="H205" s="953">
        <f t="shared" si="45"/>
        <v>0</v>
      </c>
      <c r="I205" s="929">
        <f t="shared" si="46"/>
        <v>0</v>
      </c>
      <c r="L205" s="121"/>
      <c r="M205" s="142"/>
      <c r="N205" s="121"/>
      <c r="O205" s="121"/>
      <c r="P205" s="121"/>
      <c r="Q205" s="9"/>
      <c r="R205" s="9"/>
    </row>
    <row r="206" spans="1:18" ht="15.75" thickBot="1">
      <c r="A206" s="34">
        <f t="shared" si="43"/>
        <v>6</v>
      </c>
      <c r="B206" s="923" t="str">
        <f t="shared" si="43"/>
        <v/>
      </c>
      <c r="C206" s="958">
        <f t="shared" si="44"/>
        <v>0</v>
      </c>
      <c r="D206" s="951">
        <f>IF(C206="Double Liner",0,IF(D107=M$645,"Select Liner",C206/(IF(D107=M$643,'Unit Costs'!F$66,IF(D107=M$644,'Unit Costs'!F$67,IF(D107=M$646,'Unit Costs'!F$69,IF(D107=M$647,'Unit Costs'!F$70,"Liner Error")))))))</f>
        <v>0</v>
      </c>
      <c r="E206" s="959">
        <f>IF(C206="Double Liner",0,IF(D107=M$645,"Select Liner",(IF(D107=M$643,'Unit Costs'!H$66,IF(D107=M$644,'Unit Costs'!H$67,IF(D107=M$646,'Unit Costs'!H$69,IF(D107=M$647,'Unit Costs'!H$70,"Liner Error")))))*C206*1.15))</f>
        <v>0</v>
      </c>
      <c r="F206" s="952">
        <f>IF(C206="Double Liner",0,IF(D107=M$645,"Select Liner",(IF(D107=M$643,'Unit Costs'!I$66,IF(D107=M$644,'Unit Costs'!I$67,IF(D107=M$646,'Unit Costs'!I$69,IF(D107=M$647,'Unit Costs'!I$70,"Liner Error")))))*C206*1.15))</f>
        <v>0</v>
      </c>
      <c r="G206" s="959">
        <f>IF(C206="Double Liner",0,IF(D107=M$645,"Select Liner",(IF(D107=M$643,'Unit Costs'!G$66,IF(D107=M$644,'Unit Costs'!G$67,IF(D107=M$646,'Unit Costs'!G$69,IF(D107=M$647,'Unit Costs'!G$70,"Liner Error")))))*C206*1.15))</f>
        <v>0</v>
      </c>
      <c r="H206" s="953">
        <f t="shared" si="45"/>
        <v>0</v>
      </c>
      <c r="I206" s="929">
        <f t="shared" si="46"/>
        <v>0</v>
      </c>
      <c r="L206" s="121"/>
      <c r="M206" s="142"/>
      <c r="N206" s="121"/>
      <c r="O206" s="121"/>
      <c r="P206" s="121"/>
      <c r="Q206" s="9"/>
      <c r="R206" s="9"/>
    </row>
    <row r="207" spans="1:18" ht="15.75" thickBot="1">
      <c r="A207" s="48"/>
      <c r="B207" s="48"/>
      <c r="C207" s="961">
        <f t="shared" ref="C207:H207" si="47">SUM(C201:C206)</f>
        <v>0</v>
      </c>
      <c r="D207" s="955">
        <f t="shared" si="47"/>
        <v>0</v>
      </c>
      <c r="E207" s="920">
        <f t="shared" si="47"/>
        <v>0</v>
      </c>
      <c r="F207" s="920">
        <f t="shared" si="47"/>
        <v>0</v>
      </c>
      <c r="G207" s="920">
        <f t="shared" si="47"/>
        <v>0</v>
      </c>
      <c r="H207" s="922">
        <f t="shared" si="47"/>
        <v>0</v>
      </c>
      <c r="I207" s="454"/>
      <c r="L207" s="121"/>
      <c r="M207" s="121"/>
      <c r="N207" s="121"/>
      <c r="O207" s="121"/>
      <c r="P207" s="121"/>
      <c r="Q207" s="9"/>
      <c r="R207" s="9"/>
    </row>
    <row r="208" spans="1:18">
      <c r="A208" s="9"/>
      <c r="B208" s="9"/>
      <c r="C208" s="335"/>
      <c r="E208" s="72"/>
      <c r="F208" s="72"/>
      <c r="G208" s="72"/>
      <c r="H208" s="72"/>
      <c r="I208" s="72"/>
      <c r="L208" s="121"/>
      <c r="M208" s="121"/>
      <c r="N208" s="121"/>
      <c r="O208" s="121"/>
      <c r="P208" s="121"/>
      <c r="Q208" s="9"/>
      <c r="R208" s="9"/>
    </row>
    <row r="209" spans="1:18">
      <c r="A209" s="9"/>
      <c r="B209" s="9" t="s">
        <v>262</v>
      </c>
      <c r="C209" s="71"/>
      <c r="D209" s="72"/>
      <c r="E209" s="72"/>
      <c r="F209" s="72"/>
      <c r="G209" s="72"/>
      <c r="H209" s="9"/>
      <c r="I209" s="9"/>
      <c r="L209" s="9"/>
      <c r="M209" s="9"/>
      <c r="N209" s="9"/>
      <c r="O209" s="9"/>
      <c r="P209" s="9"/>
      <c r="Q209" s="9"/>
      <c r="R209" s="9"/>
    </row>
    <row r="210" spans="1:18" ht="19.5" customHeight="1" thickBot="1">
      <c r="A210" s="9"/>
      <c r="B210" s="337"/>
      <c r="C210" s="71"/>
      <c r="D210" s="72"/>
      <c r="E210" s="72"/>
      <c r="F210" s="72"/>
      <c r="G210" s="9"/>
      <c r="H210" s="9"/>
      <c r="I210" s="9"/>
      <c r="J210" s="9"/>
      <c r="M210" s="9"/>
      <c r="N210" s="9"/>
      <c r="O210" s="9"/>
      <c r="P210" s="9"/>
      <c r="Q210" s="9"/>
      <c r="R210" s="9"/>
    </row>
    <row r="211" spans="1:18" ht="18.75" thickBot="1">
      <c r="A211" s="1117" t="s">
        <v>559</v>
      </c>
      <c r="B211" s="1118"/>
      <c r="C211" s="52" t="s">
        <v>558</v>
      </c>
      <c r="D211" s="52"/>
      <c r="E211" s="52"/>
      <c r="F211" s="11"/>
      <c r="G211" s="11"/>
      <c r="H211" s="11"/>
      <c r="I211" s="11"/>
      <c r="J211" s="12"/>
      <c r="K211" s="9"/>
      <c r="M211" s="9"/>
      <c r="N211" s="9"/>
      <c r="O211" s="9"/>
      <c r="P211" s="9"/>
      <c r="Q211" s="9"/>
      <c r="R211" s="9"/>
    </row>
    <row r="212" spans="1:18" ht="16.5" thickBot="1">
      <c r="A212" s="53"/>
      <c r="B212" s="54"/>
      <c r="C212" s="343"/>
      <c r="D212" s="346"/>
      <c r="E212" s="344"/>
      <c r="F212" s="345"/>
      <c r="G212" s="339"/>
      <c r="H212" s="534"/>
      <c r="I212" s="536"/>
      <c r="J212" s="51"/>
      <c r="K212" s="9"/>
      <c r="L212" s="9"/>
      <c r="M212" s="9"/>
      <c r="N212" s="9"/>
      <c r="O212" s="9"/>
      <c r="P212" s="9"/>
      <c r="Q212" s="9"/>
      <c r="R212" s="9"/>
    </row>
    <row r="213" spans="1:18" ht="56.25" customHeight="1">
      <c r="A213" s="1096" t="s">
        <v>18</v>
      </c>
      <c r="B213" s="1097"/>
      <c r="C213" s="1031" t="s">
        <v>74</v>
      </c>
      <c r="D213" s="1031" t="s">
        <v>73</v>
      </c>
      <c r="E213" s="1015" t="s">
        <v>287</v>
      </c>
      <c r="F213" s="1031" t="s">
        <v>32</v>
      </c>
      <c r="G213" s="1030" t="s">
        <v>33</v>
      </c>
      <c r="H213" s="1016" t="s">
        <v>69</v>
      </c>
      <c r="I213" s="1014" t="s">
        <v>505</v>
      </c>
      <c r="J213" s="1032" t="s">
        <v>505</v>
      </c>
      <c r="K213" s="9"/>
      <c r="M213" s="9"/>
      <c r="N213" s="9"/>
      <c r="O213" s="9"/>
      <c r="P213" s="9"/>
      <c r="Q213" s="9"/>
      <c r="R213" s="9"/>
    </row>
    <row r="214" spans="1:18" ht="15.75" thickBot="1">
      <c r="A214" s="56"/>
      <c r="B214" s="57"/>
      <c r="C214" s="58" t="s">
        <v>75</v>
      </c>
      <c r="D214" s="58" t="s">
        <v>25</v>
      </c>
      <c r="E214" s="342" t="s">
        <v>28</v>
      </c>
      <c r="F214" s="58"/>
      <c r="G214" s="59"/>
      <c r="H214" s="535"/>
      <c r="I214" s="75" t="s">
        <v>254</v>
      </c>
      <c r="J214" s="64" t="s">
        <v>253</v>
      </c>
      <c r="K214" s="9"/>
      <c r="L214" s="9"/>
      <c r="M214" s="9"/>
      <c r="N214" s="9"/>
      <c r="O214" s="9"/>
      <c r="P214" s="9"/>
      <c r="Q214" s="9"/>
      <c r="R214" s="9"/>
    </row>
    <row r="215" spans="1:18">
      <c r="A215" s="34">
        <f t="shared" ref="A215:B220" si="48">A34</f>
        <v>1</v>
      </c>
      <c r="B215" s="923" t="str">
        <f t="shared" si="48"/>
        <v/>
      </c>
      <c r="C215" s="950">
        <f t="shared" ref="C215:C220" si="49">IF(D34="",0,IF(F102="Double Liner",F102,((D34+E34+16)*2)))</f>
        <v>0</v>
      </c>
      <c r="D215" s="941">
        <f t="shared" ref="D215:D220" si="50">IF(F102="Double Liner",0,C215*3*2/27)</f>
        <v>0</v>
      </c>
      <c r="E215" s="951">
        <f>D215/'Unit Costs'!F$73</f>
        <v>0</v>
      </c>
      <c r="F215" s="918">
        <f>D215*'Unit Costs'!H$73</f>
        <v>0</v>
      </c>
      <c r="G215" s="952">
        <f>D215*'Unit Costs'!I$73</f>
        <v>0</v>
      </c>
      <c r="H215" s="962">
        <f t="shared" ref="H215:H220" si="51">SUM(F215:G215)</f>
        <v>0</v>
      </c>
      <c r="I215" s="927">
        <f t="shared" ref="I215:I220" si="52">IF(C215=0,0,IF(C215="Double Liner",0,H215/C215))</f>
        <v>0</v>
      </c>
      <c r="J215" s="963">
        <f t="shared" ref="J215:J220" si="53">IF(D215=0,0,IF(D215="Double Liner",0,H215/D215))</f>
        <v>0</v>
      </c>
      <c r="K215" s="9"/>
      <c r="L215" s="9"/>
      <c r="M215" s="9"/>
      <c r="N215" s="9"/>
      <c r="O215" s="9"/>
      <c r="P215" s="9"/>
      <c r="Q215" s="9"/>
      <c r="R215" s="9"/>
    </row>
    <row r="216" spans="1:18">
      <c r="A216" s="34">
        <f t="shared" si="48"/>
        <v>2</v>
      </c>
      <c r="B216" s="923" t="str">
        <f t="shared" si="48"/>
        <v/>
      </c>
      <c r="C216" s="950">
        <f t="shared" si="49"/>
        <v>0</v>
      </c>
      <c r="D216" s="941">
        <f t="shared" si="50"/>
        <v>0</v>
      </c>
      <c r="E216" s="951">
        <f>D216/'Unit Costs'!F$73</f>
        <v>0</v>
      </c>
      <c r="F216" s="918">
        <f>D216*'Unit Costs'!H$73</f>
        <v>0</v>
      </c>
      <c r="G216" s="952">
        <f>D216*'Unit Costs'!I$73</f>
        <v>0</v>
      </c>
      <c r="H216" s="962">
        <f t="shared" si="51"/>
        <v>0</v>
      </c>
      <c r="I216" s="929">
        <f t="shared" si="52"/>
        <v>0</v>
      </c>
      <c r="J216" s="964">
        <f t="shared" si="53"/>
        <v>0</v>
      </c>
      <c r="K216" s="9"/>
      <c r="M216" s="9"/>
      <c r="N216" s="9"/>
      <c r="O216" s="9"/>
      <c r="P216" s="9"/>
      <c r="Q216" s="9"/>
      <c r="R216" s="9"/>
    </row>
    <row r="217" spans="1:18">
      <c r="A217" s="34">
        <f t="shared" si="48"/>
        <v>3</v>
      </c>
      <c r="B217" s="923" t="str">
        <f t="shared" si="48"/>
        <v/>
      </c>
      <c r="C217" s="950">
        <f t="shared" si="49"/>
        <v>0</v>
      </c>
      <c r="D217" s="941">
        <f t="shared" si="50"/>
        <v>0</v>
      </c>
      <c r="E217" s="951">
        <f>D217/'Unit Costs'!F$73</f>
        <v>0</v>
      </c>
      <c r="F217" s="918">
        <f>D217*'Unit Costs'!H$73</f>
        <v>0</v>
      </c>
      <c r="G217" s="952">
        <f>D217*'Unit Costs'!I$73</f>
        <v>0</v>
      </c>
      <c r="H217" s="962">
        <f t="shared" si="51"/>
        <v>0</v>
      </c>
      <c r="I217" s="929">
        <f t="shared" si="52"/>
        <v>0</v>
      </c>
      <c r="J217" s="964">
        <f t="shared" si="53"/>
        <v>0</v>
      </c>
      <c r="K217" s="9"/>
      <c r="L217" s="9"/>
      <c r="M217" s="9"/>
      <c r="N217" s="9"/>
      <c r="O217" s="9"/>
      <c r="P217" s="9"/>
      <c r="Q217" s="9"/>
      <c r="R217" s="9"/>
    </row>
    <row r="218" spans="1:18">
      <c r="A218" s="34">
        <f t="shared" si="48"/>
        <v>4</v>
      </c>
      <c r="B218" s="923" t="str">
        <f t="shared" si="48"/>
        <v/>
      </c>
      <c r="C218" s="950">
        <f t="shared" si="49"/>
        <v>0</v>
      </c>
      <c r="D218" s="941">
        <f t="shared" si="50"/>
        <v>0</v>
      </c>
      <c r="E218" s="951">
        <f>D218/'Unit Costs'!F$73</f>
        <v>0</v>
      </c>
      <c r="F218" s="918">
        <f>D218*'Unit Costs'!H$73</f>
        <v>0</v>
      </c>
      <c r="G218" s="952">
        <f>D218*'Unit Costs'!I$73</f>
        <v>0</v>
      </c>
      <c r="H218" s="962">
        <f t="shared" si="51"/>
        <v>0</v>
      </c>
      <c r="I218" s="929">
        <f t="shared" si="52"/>
        <v>0</v>
      </c>
      <c r="J218" s="964">
        <f t="shared" si="53"/>
        <v>0</v>
      </c>
      <c r="K218" s="9"/>
      <c r="M218" s="9"/>
      <c r="N218" s="9"/>
      <c r="O218" s="9"/>
      <c r="P218" s="9"/>
      <c r="Q218" s="9"/>
      <c r="R218" s="9"/>
    </row>
    <row r="219" spans="1:18">
      <c r="A219" s="34">
        <f t="shared" si="48"/>
        <v>5</v>
      </c>
      <c r="B219" s="923" t="str">
        <f t="shared" si="48"/>
        <v/>
      </c>
      <c r="C219" s="950">
        <f t="shared" si="49"/>
        <v>0</v>
      </c>
      <c r="D219" s="941">
        <f t="shared" si="50"/>
        <v>0</v>
      </c>
      <c r="E219" s="951">
        <f>D219/'Unit Costs'!F$73</f>
        <v>0</v>
      </c>
      <c r="F219" s="918">
        <f>D219*'Unit Costs'!H$73</f>
        <v>0</v>
      </c>
      <c r="G219" s="952">
        <f>D219*'Unit Costs'!I$73</f>
        <v>0</v>
      </c>
      <c r="H219" s="962">
        <f t="shared" si="51"/>
        <v>0</v>
      </c>
      <c r="I219" s="929">
        <f t="shared" si="52"/>
        <v>0</v>
      </c>
      <c r="J219" s="964">
        <f t="shared" si="53"/>
        <v>0</v>
      </c>
      <c r="K219" s="9"/>
      <c r="L219" s="9"/>
      <c r="M219" s="9"/>
      <c r="N219" s="9"/>
      <c r="O219" s="9"/>
      <c r="P219" s="9"/>
      <c r="Q219" s="9"/>
      <c r="R219" s="9"/>
    </row>
    <row r="220" spans="1:18" ht="15.75" thickBot="1">
      <c r="A220" s="34">
        <f t="shared" si="48"/>
        <v>6</v>
      </c>
      <c r="B220" s="923" t="str">
        <f t="shared" si="48"/>
        <v/>
      </c>
      <c r="C220" s="950">
        <f t="shared" si="49"/>
        <v>0</v>
      </c>
      <c r="D220" s="941">
        <f t="shared" si="50"/>
        <v>0</v>
      </c>
      <c r="E220" s="965">
        <f>D220/'Unit Costs'!F$73</f>
        <v>0</v>
      </c>
      <c r="F220" s="918">
        <f>D220*'Unit Costs'!H$73</f>
        <v>0</v>
      </c>
      <c r="G220" s="952">
        <f>D220*'Unit Costs'!I$73</f>
        <v>0</v>
      </c>
      <c r="H220" s="962">
        <f t="shared" si="51"/>
        <v>0</v>
      </c>
      <c r="I220" s="966">
        <f t="shared" si="52"/>
        <v>0</v>
      </c>
      <c r="J220" s="967">
        <f t="shared" si="53"/>
        <v>0</v>
      </c>
      <c r="K220" s="9"/>
      <c r="L220" s="9"/>
      <c r="M220" s="9"/>
      <c r="N220" s="9"/>
      <c r="O220" s="9"/>
      <c r="P220" s="9"/>
      <c r="Q220" s="9"/>
      <c r="R220" s="9"/>
    </row>
    <row r="221" spans="1:18" ht="15.75" thickBot="1">
      <c r="A221" s="9"/>
      <c r="C221" s="968">
        <f>SUM(C215:C220)</f>
        <v>0</v>
      </c>
      <c r="D221" s="969">
        <f t="shared" ref="D221:H221" si="54">SUM(D215:D220)</f>
        <v>0</v>
      </c>
      <c r="E221" s="970">
        <f t="shared" si="54"/>
        <v>0</v>
      </c>
      <c r="F221" s="920">
        <f t="shared" si="54"/>
        <v>0</v>
      </c>
      <c r="G221" s="920">
        <f t="shared" si="54"/>
        <v>0</v>
      </c>
      <c r="H221" s="934">
        <f t="shared" si="54"/>
        <v>0</v>
      </c>
      <c r="I221" s="72"/>
      <c r="J221" s="9"/>
      <c r="K221" s="9"/>
      <c r="L221" s="9"/>
      <c r="M221" s="9"/>
      <c r="N221" s="9"/>
      <c r="O221" s="9"/>
      <c r="P221" s="9"/>
      <c r="Q221" s="9"/>
      <c r="R221" s="9"/>
    </row>
    <row r="222" spans="1:18">
      <c r="A222" s="9"/>
      <c r="C222" s="887"/>
      <c r="D222" s="888"/>
      <c r="E222" s="889"/>
      <c r="F222" s="72"/>
      <c r="G222" s="72"/>
      <c r="H222" s="72"/>
      <c r="I222" s="72"/>
      <c r="J222" s="9"/>
      <c r="K222" s="9"/>
      <c r="L222" s="9"/>
      <c r="M222" s="9"/>
      <c r="N222" s="9"/>
      <c r="O222" s="9"/>
      <c r="P222" s="9"/>
      <c r="Q222" s="9"/>
      <c r="R222" s="9"/>
    </row>
    <row r="223" spans="1:18">
      <c r="A223" s="9"/>
      <c r="B223" s="9"/>
      <c r="C223" s="71"/>
      <c r="D223" s="72"/>
      <c r="E223" s="72"/>
      <c r="F223" s="72"/>
      <c r="G223" s="72"/>
      <c r="H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5" customHeight="1" thickBot="1">
      <c r="A224" s="9"/>
      <c r="B224" s="9"/>
      <c r="C224" s="71"/>
      <c r="D224" s="72"/>
      <c r="E224" s="72"/>
      <c r="F224" s="72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23" ht="18.75" thickBot="1">
      <c r="A225" s="67" t="s">
        <v>106</v>
      </c>
      <c r="B225" s="11"/>
      <c r="C225" s="52"/>
      <c r="D225" s="52"/>
      <c r="E225" s="52"/>
      <c r="F225" s="11"/>
      <c r="G225" s="11"/>
      <c r="H225" s="11"/>
      <c r="I225" s="12"/>
      <c r="K225" s="9"/>
      <c r="L225" s="9"/>
      <c r="M225" s="9"/>
      <c r="N225" s="9"/>
      <c r="O225" s="9"/>
      <c r="P225" s="9"/>
      <c r="Q225" s="9"/>
      <c r="R225" s="9"/>
    </row>
    <row r="226" spans="1:23" ht="16.5" thickBot="1">
      <c r="A226" s="53"/>
      <c r="B226" s="54"/>
      <c r="C226" s="55"/>
      <c r="D226" s="55"/>
      <c r="E226" s="55"/>
      <c r="F226" s="73"/>
      <c r="G226" s="73"/>
      <c r="H226" s="73"/>
      <c r="I226" s="74"/>
      <c r="K226" s="9"/>
      <c r="L226" s="9"/>
      <c r="M226" s="9"/>
      <c r="N226" s="9"/>
      <c r="O226" s="9"/>
      <c r="P226" s="9"/>
      <c r="Q226" s="9"/>
      <c r="R226" s="9"/>
    </row>
    <row r="227" spans="1:23" ht="48.75" customHeight="1">
      <c r="A227" s="1096" t="s">
        <v>18</v>
      </c>
      <c r="B227" s="1097"/>
      <c r="C227" s="1031" t="s">
        <v>109</v>
      </c>
      <c r="D227" s="1031" t="s">
        <v>151</v>
      </c>
      <c r="E227" s="1031" t="s">
        <v>51</v>
      </c>
      <c r="F227" s="1031" t="s">
        <v>32</v>
      </c>
      <c r="G227" s="1030" t="s">
        <v>33</v>
      </c>
      <c r="H227" s="1031" t="s">
        <v>53</v>
      </c>
      <c r="I227" s="1159" t="s">
        <v>605</v>
      </c>
      <c r="K227" s="9"/>
      <c r="L227" s="9"/>
      <c r="M227" s="9"/>
      <c r="N227" s="9"/>
      <c r="O227" s="9"/>
      <c r="P227" s="9"/>
      <c r="Q227" s="9"/>
      <c r="R227" s="9"/>
    </row>
    <row r="228" spans="1:23" ht="16.5" customHeight="1" thickBot="1">
      <c r="A228" s="56"/>
      <c r="B228" s="57"/>
      <c r="C228" s="84"/>
      <c r="D228" s="84" t="s">
        <v>25</v>
      </c>
      <c r="E228" s="84" t="s">
        <v>41</v>
      </c>
      <c r="F228" s="58"/>
      <c r="G228" s="59"/>
      <c r="H228" s="58"/>
      <c r="I228" s="1160"/>
    </row>
    <row r="229" spans="1:23" ht="15.75" customHeight="1">
      <c r="A229" s="34">
        <f>A$34</f>
        <v>1</v>
      </c>
      <c r="B229" s="923" t="str">
        <f t="shared" ref="B229:B234" si="55">B34</f>
        <v/>
      </c>
      <c r="C229" s="971">
        <v>1</v>
      </c>
      <c r="D229" s="972">
        <f t="shared" ref="D229:D234" si="56">IF(B34="",0,C229*19)</f>
        <v>0</v>
      </c>
      <c r="E229" s="937">
        <f>IF(D34="",0,'Unit Costs'!F$75)</f>
        <v>0</v>
      </c>
      <c r="F229" s="918">
        <f>'Unit Costs'!H$75*D229</f>
        <v>0</v>
      </c>
      <c r="G229" s="918">
        <f>'Unit Costs'!I$75*D229</f>
        <v>0</v>
      </c>
      <c r="H229" s="918">
        <f>'Unit Costs'!G$75*D229</f>
        <v>0</v>
      </c>
      <c r="I229" s="926">
        <f t="shared" ref="I229:I234" si="57">SUM(F229:H229)</f>
        <v>0</v>
      </c>
    </row>
    <row r="230" spans="1:23" ht="15.75" customHeight="1">
      <c r="A230" s="34">
        <f>A$35</f>
        <v>2</v>
      </c>
      <c r="B230" s="923" t="str">
        <f t="shared" si="55"/>
        <v/>
      </c>
      <c r="C230" s="971">
        <v>1</v>
      </c>
      <c r="D230" s="972">
        <f t="shared" si="56"/>
        <v>0</v>
      </c>
      <c r="E230" s="937">
        <f>IF(D35="",0,'Unit Costs'!F$75)</f>
        <v>0</v>
      </c>
      <c r="F230" s="918">
        <f>'Unit Costs'!H$75*D230</f>
        <v>0</v>
      </c>
      <c r="G230" s="918">
        <f>'Unit Costs'!I$75*D230</f>
        <v>0</v>
      </c>
      <c r="H230" s="918">
        <f>'Unit Costs'!G$75*D230</f>
        <v>0</v>
      </c>
      <c r="I230" s="928">
        <f t="shared" si="57"/>
        <v>0</v>
      </c>
    </row>
    <row r="231" spans="1:23">
      <c r="A231" s="34">
        <f>A$36</f>
        <v>3</v>
      </c>
      <c r="B231" s="923" t="str">
        <f t="shared" si="55"/>
        <v/>
      </c>
      <c r="C231" s="971">
        <v>1</v>
      </c>
      <c r="D231" s="972">
        <f t="shared" si="56"/>
        <v>0</v>
      </c>
      <c r="E231" s="937">
        <f>IF(D36="",0,'Unit Costs'!F$75)</f>
        <v>0</v>
      </c>
      <c r="F231" s="918">
        <f>'Unit Costs'!H$75*D231</f>
        <v>0</v>
      </c>
      <c r="G231" s="918">
        <f>'Unit Costs'!I$75*D231</f>
        <v>0</v>
      </c>
      <c r="H231" s="918">
        <f>'Unit Costs'!G$75*D231</f>
        <v>0</v>
      </c>
      <c r="I231" s="928">
        <f t="shared" si="57"/>
        <v>0</v>
      </c>
    </row>
    <row r="232" spans="1:23">
      <c r="A232" s="34">
        <f>A37</f>
        <v>4</v>
      </c>
      <c r="B232" s="923" t="str">
        <f t="shared" si="55"/>
        <v/>
      </c>
      <c r="C232" s="971">
        <v>1</v>
      </c>
      <c r="D232" s="972">
        <f t="shared" si="56"/>
        <v>0</v>
      </c>
      <c r="E232" s="937">
        <f>IF(D37="",0,'Unit Costs'!F$75)</f>
        <v>0</v>
      </c>
      <c r="F232" s="918">
        <f>'Unit Costs'!H$75*D232</f>
        <v>0</v>
      </c>
      <c r="G232" s="918">
        <f>'Unit Costs'!I$75*D232</f>
        <v>0</v>
      </c>
      <c r="H232" s="918">
        <f>'Unit Costs'!G$75*D232</f>
        <v>0</v>
      </c>
      <c r="I232" s="928">
        <f t="shared" si="57"/>
        <v>0</v>
      </c>
    </row>
    <row r="233" spans="1:23">
      <c r="A233" s="34">
        <f>A38</f>
        <v>5</v>
      </c>
      <c r="B233" s="923" t="str">
        <f t="shared" si="55"/>
        <v/>
      </c>
      <c r="C233" s="971">
        <v>1</v>
      </c>
      <c r="D233" s="972">
        <f t="shared" si="56"/>
        <v>0</v>
      </c>
      <c r="E233" s="937">
        <f>IF(D38="",0,'Unit Costs'!F$75)</f>
        <v>0</v>
      </c>
      <c r="F233" s="918">
        <f>'Unit Costs'!H$75*D233</f>
        <v>0</v>
      </c>
      <c r="G233" s="918">
        <f>'Unit Costs'!I$75*D233</f>
        <v>0</v>
      </c>
      <c r="H233" s="918">
        <f>'Unit Costs'!G$75*D233</f>
        <v>0</v>
      </c>
      <c r="I233" s="928">
        <f t="shared" si="57"/>
        <v>0</v>
      </c>
    </row>
    <row r="234" spans="1:23" ht="15.75" thickBot="1">
      <c r="A234" s="34">
        <f>A39</f>
        <v>6</v>
      </c>
      <c r="B234" s="923" t="str">
        <f t="shared" si="55"/>
        <v/>
      </c>
      <c r="C234" s="971">
        <v>1</v>
      </c>
      <c r="D234" s="972">
        <f t="shared" si="56"/>
        <v>0</v>
      </c>
      <c r="E234" s="937">
        <f>IF(D39="",0,'Unit Costs'!F$75)</f>
        <v>0</v>
      </c>
      <c r="F234" s="918">
        <f>'Unit Costs'!H$75*D234</f>
        <v>0</v>
      </c>
      <c r="G234" s="918">
        <f>'Unit Costs'!I$75*D234</f>
        <v>0</v>
      </c>
      <c r="H234" s="918">
        <f>'Unit Costs'!G$75*D234</f>
        <v>0</v>
      </c>
      <c r="I234" s="973">
        <f t="shared" si="57"/>
        <v>0</v>
      </c>
    </row>
    <row r="235" spans="1:23" ht="15.75" thickBot="1">
      <c r="A235" s="48"/>
      <c r="B235" s="48"/>
      <c r="C235" s="974">
        <f>SUM(C229:C234)</f>
        <v>6</v>
      </c>
      <c r="D235" s="932">
        <f>SUM(D229:D234)</f>
        <v>0</v>
      </c>
      <c r="E235" s="334"/>
      <c r="F235" s="920">
        <f>SUM(F229:F234)</f>
        <v>0</v>
      </c>
      <c r="G235" s="920">
        <f>SUM(G229:G234)</f>
        <v>0</v>
      </c>
      <c r="H235" s="920">
        <f>SUM(H229:H234)</f>
        <v>0</v>
      </c>
      <c r="I235" s="934">
        <f>SUM(I229:I234)</f>
        <v>0</v>
      </c>
    </row>
    <row r="236" spans="1:23">
      <c r="A236" s="9"/>
      <c r="B236" s="9"/>
      <c r="C236" s="88"/>
      <c r="D236" s="71"/>
      <c r="E236" s="71"/>
      <c r="F236" s="72"/>
      <c r="G236" s="72"/>
      <c r="H236" s="72"/>
      <c r="I236" s="72"/>
      <c r="J236" s="9"/>
    </row>
    <row r="237" spans="1:23">
      <c r="A237" s="9"/>
      <c r="B237" s="9" t="s">
        <v>606</v>
      </c>
      <c r="C237" s="88"/>
      <c r="D237" s="71"/>
      <c r="E237" s="71"/>
      <c r="F237" s="72"/>
      <c r="G237" s="72"/>
      <c r="H237" s="72"/>
      <c r="I237" s="72"/>
      <c r="J237" s="9"/>
    </row>
    <row r="238" spans="1:23" ht="15" customHeight="1" thickBot="1">
      <c r="A238" s="9"/>
      <c r="B238" s="9"/>
      <c r="C238" s="65"/>
      <c r="D238" s="9"/>
      <c r="E238" s="9"/>
      <c r="F238" s="9"/>
      <c r="G238" s="9"/>
      <c r="H238" s="66"/>
      <c r="I238" s="66"/>
      <c r="J238" s="66"/>
    </row>
    <row r="239" spans="1:23" ht="18.75" thickBot="1">
      <c r="A239" s="67" t="s">
        <v>249</v>
      </c>
      <c r="B239" s="11"/>
      <c r="C239" s="11"/>
      <c r="D239" s="52"/>
      <c r="E239" s="52"/>
      <c r="F239" s="11"/>
      <c r="G239" s="11"/>
      <c r="H239" s="11"/>
      <c r="I239" s="11"/>
      <c r="J239" s="12"/>
    </row>
    <row r="240" spans="1:23" ht="24" customHeight="1" thickBot="1">
      <c r="A240" s="49"/>
      <c r="B240" s="50"/>
      <c r="C240" s="50"/>
      <c r="D240" s="55"/>
      <c r="E240" s="55"/>
      <c r="F240" s="50"/>
      <c r="G240" s="50"/>
      <c r="H240" s="50"/>
      <c r="I240" s="51"/>
      <c r="J240" s="51"/>
      <c r="M240" s="134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1:58" ht="36.75" customHeight="1">
      <c r="A241" s="1096" t="s">
        <v>18</v>
      </c>
      <c r="B241" s="1157"/>
      <c r="C241" s="1039" t="s">
        <v>65</v>
      </c>
      <c r="D241" s="1031" t="s">
        <v>51</v>
      </c>
      <c r="E241" s="1031" t="s">
        <v>31</v>
      </c>
      <c r="F241" s="1031" t="s">
        <v>61</v>
      </c>
      <c r="G241" s="1030" t="s">
        <v>62</v>
      </c>
      <c r="H241" s="1030" t="s">
        <v>63</v>
      </c>
      <c r="I241" s="1032" t="s">
        <v>64</v>
      </c>
      <c r="J241" s="1032" t="s">
        <v>505</v>
      </c>
      <c r="M241" s="323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1:58" ht="16.5" customHeight="1" thickBot="1">
      <c r="A242" s="56"/>
      <c r="B242" s="57"/>
      <c r="C242" s="61" t="s">
        <v>21</v>
      </c>
      <c r="D242" s="84" t="s">
        <v>52</v>
      </c>
      <c r="E242" s="58" t="s">
        <v>28</v>
      </c>
      <c r="F242" s="33"/>
      <c r="G242" s="63"/>
      <c r="H242" s="63"/>
      <c r="I242" s="64"/>
      <c r="J242" s="64" t="s">
        <v>254</v>
      </c>
      <c r="M242" s="311"/>
      <c r="N242" s="311"/>
      <c r="O242" s="311"/>
      <c r="P242" s="311"/>
      <c r="Q242" s="311"/>
      <c r="R242" s="311"/>
      <c r="S242" s="311"/>
      <c r="T242" s="320"/>
      <c r="U242" s="320"/>
      <c r="V242" s="437"/>
      <c r="W242" s="97"/>
    </row>
    <row r="243" spans="1:58" ht="15.75" customHeight="1">
      <c r="A243" s="34">
        <f>A$34</f>
        <v>1</v>
      </c>
      <c r="B243" s="917" t="str">
        <f t="shared" ref="B243:B248" si="58">B34</f>
        <v/>
      </c>
      <c r="C243" s="937">
        <f t="shared" ref="C243:C248" si="59">IF(B34="",0,((D34-(2*F34*G34))*((E34-(2*F34*G34))/10))+(D34-(2*F34*G34)))</f>
        <v>0</v>
      </c>
      <c r="D243" s="937">
        <f>IF(D34="",0,'Unit Costs'!F$79)</f>
        <v>0</v>
      </c>
      <c r="E243" s="939">
        <f t="shared" ref="E243:E248" si="60">IF(D34="",0,C243/D243)</f>
        <v>0</v>
      </c>
      <c r="F243" s="918">
        <f>'Unit Costs'!H$79*C243</f>
        <v>0</v>
      </c>
      <c r="G243" s="918">
        <f>'Unit Costs'!I$79*C243</f>
        <v>0</v>
      </c>
      <c r="H243" s="918">
        <f>'Unit Costs'!G$79*C243</f>
        <v>0</v>
      </c>
      <c r="I243" s="926">
        <f t="shared" ref="I243:I248" si="61">SUM(F243:H243)</f>
        <v>0</v>
      </c>
      <c r="J243" s="927">
        <f t="shared" ref="J243:J248" si="62">IF(C243=0,0,I243/C243)</f>
        <v>0</v>
      </c>
      <c r="M243" s="438"/>
      <c r="N243" s="439"/>
      <c r="O243" s="438"/>
      <c r="P243" s="438"/>
      <c r="Q243" s="440"/>
      <c r="R243" s="441"/>
      <c r="S243" s="442"/>
      <c r="T243" s="442"/>
      <c r="U243" s="443"/>
      <c r="V243" s="444"/>
      <c r="W243" s="97"/>
    </row>
    <row r="244" spans="1:58">
      <c r="A244" s="34">
        <f>A$35</f>
        <v>2</v>
      </c>
      <c r="B244" s="917" t="str">
        <f t="shared" si="58"/>
        <v/>
      </c>
      <c r="C244" s="937">
        <f t="shared" si="59"/>
        <v>0</v>
      </c>
      <c r="D244" s="937">
        <f>IF(D35="",0,'Unit Costs'!F$79)</f>
        <v>0</v>
      </c>
      <c r="E244" s="939">
        <f t="shared" si="60"/>
        <v>0</v>
      </c>
      <c r="F244" s="918">
        <f>'Unit Costs'!H$79*C244</f>
        <v>0</v>
      </c>
      <c r="G244" s="918">
        <f>'Unit Costs'!I$79*C244</f>
        <v>0</v>
      </c>
      <c r="H244" s="918">
        <f>'Unit Costs'!G$79*C244</f>
        <v>0</v>
      </c>
      <c r="I244" s="928">
        <f t="shared" si="61"/>
        <v>0</v>
      </c>
      <c r="J244" s="929">
        <f t="shared" si="62"/>
        <v>0</v>
      </c>
      <c r="M244" s="438"/>
      <c r="N244" s="439"/>
      <c r="O244" s="438"/>
      <c r="P244" s="438"/>
      <c r="Q244" s="440"/>
      <c r="R244" s="441"/>
      <c r="S244" s="442"/>
      <c r="T244" s="442"/>
      <c r="U244" s="443"/>
      <c r="V244" s="444"/>
      <c r="W244" s="97"/>
    </row>
    <row r="245" spans="1:58">
      <c r="A245" s="34">
        <f>A$36</f>
        <v>3</v>
      </c>
      <c r="B245" s="917" t="str">
        <f t="shared" si="58"/>
        <v/>
      </c>
      <c r="C245" s="937">
        <f t="shared" si="59"/>
        <v>0</v>
      </c>
      <c r="D245" s="937">
        <f>IF(D36="",0,'Unit Costs'!F$79)</f>
        <v>0</v>
      </c>
      <c r="E245" s="939">
        <f t="shared" si="60"/>
        <v>0</v>
      </c>
      <c r="F245" s="918">
        <f>'Unit Costs'!H$79*C245</f>
        <v>0</v>
      </c>
      <c r="G245" s="918">
        <f>'Unit Costs'!I$79*C245</f>
        <v>0</v>
      </c>
      <c r="H245" s="918">
        <f>'Unit Costs'!G$79*C245</f>
        <v>0</v>
      </c>
      <c r="I245" s="928">
        <f t="shared" si="61"/>
        <v>0</v>
      </c>
      <c r="J245" s="929">
        <f t="shared" si="62"/>
        <v>0</v>
      </c>
      <c r="M245" s="438"/>
      <c r="N245" s="439"/>
      <c r="O245" s="438"/>
      <c r="P245" s="438"/>
      <c r="Q245" s="440"/>
      <c r="R245" s="441"/>
      <c r="S245" s="442"/>
      <c r="T245" s="442"/>
      <c r="U245" s="443"/>
      <c r="V245" s="444"/>
      <c r="W245" s="97"/>
    </row>
    <row r="246" spans="1:58">
      <c r="A246" s="34">
        <f>A37</f>
        <v>4</v>
      </c>
      <c r="B246" s="917" t="str">
        <f t="shared" si="58"/>
        <v/>
      </c>
      <c r="C246" s="937">
        <f t="shared" si="59"/>
        <v>0</v>
      </c>
      <c r="D246" s="937">
        <f>IF(D37="",0,'Unit Costs'!F$79)</f>
        <v>0</v>
      </c>
      <c r="E246" s="939">
        <f t="shared" si="60"/>
        <v>0</v>
      </c>
      <c r="F246" s="918">
        <f>'Unit Costs'!H$79*C246</f>
        <v>0</v>
      </c>
      <c r="G246" s="918">
        <f>'Unit Costs'!I$79*C246</f>
        <v>0</v>
      </c>
      <c r="H246" s="918">
        <f>'Unit Costs'!G$79*C246</f>
        <v>0</v>
      </c>
      <c r="I246" s="928">
        <f t="shared" si="61"/>
        <v>0</v>
      </c>
      <c r="J246" s="929">
        <f t="shared" si="62"/>
        <v>0</v>
      </c>
      <c r="M246" s="438"/>
      <c r="N246" s="439"/>
      <c r="O246" s="438"/>
      <c r="P246" s="438"/>
      <c r="Q246" s="440"/>
      <c r="R246" s="441"/>
      <c r="S246" s="442"/>
      <c r="T246" s="442"/>
      <c r="U246" s="443"/>
      <c r="V246" s="444"/>
      <c r="W246" s="97"/>
    </row>
    <row r="247" spans="1:58">
      <c r="A247" s="34">
        <f>A38</f>
        <v>5</v>
      </c>
      <c r="B247" s="917" t="str">
        <f t="shared" si="58"/>
        <v/>
      </c>
      <c r="C247" s="937">
        <f t="shared" si="59"/>
        <v>0</v>
      </c>
      <c r="D247" s="937">
        <f>IF(D38="",0,'Unit Costs'!F$79)</f>
        <v>0</v>
      </c>
      <c r="E247" s="939">
        <f t="shared" si="60"/>
        <v>0</v>
      </c>
      <c r="F247" s="918">
        <f>'Unit Costs'!H$79*C247</f>
        <v>0</v>
      </c>
      <c r="G247" s="918">
        <f>'Unit Costs'!I$79*C247</f>
        <v>0</v>
      </c>
      <c r="H247" s="918">
        <f>'Unit Costs'!G$79*C247</f>
        <v>0</v>
      </c>
      <c r="I247" s="928">
        <f t="shared" si="61"/>
        <v>0</v>
      </c>
      <c r="J247" s="929">
        <f t="shared" si="62"/>
        <v>0</v>
      </c>
      <c r="M247" s="438"/>
      <c r="N247" s="439"/>
      <c r="O247" s="438"/>
      <c r="P247" s="438"/>
      <c r="Q247" s="97"/>
      <c r="R247" s="97"/>
      <c r="S247" s="323"/>
      <c r="T247" s="323"/>
      <c r="U247" s="323"/>
      <c r="V247" s="323"/>
      <c r="W247" s="97"/>
    </row>
    <row r="248" spans="1:58" ht="15.75" thickBot="1">
      <c r="A248" s="34">
        <f>A39</f>
        <v>6</v>
      </c>
      <c r="B248" s="917" t="str">
        <f t="shared" si="58"/>
        <v/>
      </c>
      <c r="C248" s="937">
        <f t="shared" si="59"/>
        <v>0</v>
      </c>
      <c r="D248" s="937">
        <f>IF(D39="",0,'Unit Costs'!F$79)</f>
        <v>0</v>
      </c>
      <c r="E248" s="939">
        <f t="shared" si="60"/>
        <v>0</v>
      </c>
      <c r="F248" s="918">
        <f>'Unit Costs'!H$79*C248</f>
        <v>0</v>
      </c>
      <c r="G248" s="918">
        <f>'Unit Costs'!I$79*C248</f>
        <v>0</v>
      </c>
      <c r="H248" s="918">
        <f>'Unit Costs'!G$79*C248</f>
        <v>0</v>
      </c>
      <c r="I248" s="928">
        <f t="shared" si="61"/>
        <v>0</v>
      </c>
      <c r="J248" s="929">
        <f t="shared" si="62"/>
        <v>0</v>
      </c>
      <c r="M248" s="97"/>
      <c r="N248" s="97"/>
      <c r="O248" s="97"/>
      <c r="P248" s="97"/>
      <c r="Q248" s="97"/>
      <c r="R248" s="97"/>
      <c r="S248" s="323"/>
      <c r="T248" s="323"/>
      <c r="U248" s="323"/>
      <c r="V248" s="323"/>
      <c r="W248" s="97"/>
    </row>
    <row r="249" spans="1:58" ht="15.75" thickBot="1">
      <c r="A249" s="48"/>
      <c r="B249" s="48"/>
      <c r="C249" s="975">
        <f>SUM(C243:C248)</f>
        <v>0</v>
      </c>
      <c r="D249" s="85"/>
      <c r="E249" s="932">
        <f>SUM(E243:E248)</f>
        <v>0</v>
      </c>
      <c r="F249" s="920">
        <f>SUM(F243:F248)</f>
        <v>0</v>
      </c>
      <c r="G249" s="921">
        <f>SUM(G243:G248)</f>
        <v>0</v>
      </c>
      <c r="H249" s="921">
        <f>SUM(H243:H248)</f>
        <v>0</v>
      </c>
      <c r="I249" s="922">
        <f>SUM(I243:I248)</f>
        <v>0</v>
      </c>
      <c r="J249" s="454"/>
      <c r="M249" s="438"/>
      <c r="N249" s="97"/>
      <c r="O249" s="97"/>
      <c r="P249" s="97"/>
      <c r="Q249" s="97"/>
      <c r="R249" s="441"/>
      <c r="S249" s="445"/>
      <c r="T249" s="445"/>
      <c r="U249" s="445"/>
      <c r="V249" s="323"/>
      <c r="W249" s="97"/>
    </row>
    <row r="250" spans="1:58">
      <c r="A250" s="9"/>
      <c r="B250" s="9"/>
      <c r="C250" s="88"/>
      <c r="D250" s="71"/>
      <c r="E250" s="71"/>
      <c r="F250" s="72"/>
      <c r="G250" s="72"/>
      <c r="H250" s="72"/>
      <c r="I250" s="72"/>
      <c r="J250" s="9"/>
      <c r="M250" s="352"/>
      <c r="N250" s="353"/>
      <c r="O250" s="353"/>
      <c r="P250" s="354"/>
      <c r="Q250" s="353"/>
      <c r="R250" s="355"/>
      <c r="S250" s="355"/>
      <c r="T250" s="97"/>
      <c r="U250" s="97"/>
      <c r="V250" s="97"/>
      <c r="W250" s="97"/>
    </row>
    <row r="251" spans="1:58">
      <c r="A251" s="9"/>
      <c r="C251" s="88"/>
      <c r="D251" s="71"/>
      <c r="E251" s="71"/>
      <c r="F251" s="72"/>
      <c r="G251" s="72"/>
      <c r="H251" s="72"/>
      <c r="I251" s="72"/>
      <c r="J251" s="9"/>
      <c r="M251" s="446"/>
      <c r="N251" s="353"/>
      <c r="O251" s="353"/>
      <c r="P251" s="537"/>
      <c r="Q251" s="447"/>
      <c r="R251" s="355"/>
      <c r="S251" s="355"/>
      <c r="T251" s="97"/>
      <c r="U251" s="97"/>
      <c r="V251" s="97"/>
      <c r="W251" s="97"/>
    </row>
    <row r="252" spans="1:58" ht="15.75" thickBot="1">
      <c r="A252" s="121"/>
      <c r="M252" s="810"/>
      <c r="N252" s="810"/>
      <c r="O252" s="810"/>
      <c r="P252" s="451"/>
      <c r="Q252" s="451"/>
      <c r="R252" s="452"/>
      <c r="S252" s="453"/>
      <c r="T252" s="97"/>
      <c r="U252" s="97"/>
      <c r="V252" s="97"/>
      <c r="W252" s="97"/>
      <c r="AX252" s="827"/>
      <c r="AY252" s="827"/>
      <c r="AZ252" s="829"/>
      <c r="BA252" s="829"/>
      <c r="BB252" s="829"/>
      <c r="BC252" s="829"/>
      <c r="BD252" s="829"/>
      <c r="BE252" s="829"/>
      <c r="BF252" s="827"/>
    </row>
    <row r="253" spans="1:58" ht="18.75" thickBot="1">
      <c r="A253" s="1117" t="s">
        <v>615</v>
      </c>
      <c r="B253" s="1118"/>
      <c r="C253" s="1118"/>
      <c r="D253" s="1118"/>
      <c r="E253" s="1118"/>
      <c r="F253" s="1118"/>
      <c r="G253" s="1118"/>
      <c r="H253" s="1118"/>
      <c r="I253" s="1118"/>
      <c r="J253" s="1119"/>
      <c r="M253" s="810"/>
      <c r="N253" s="810"/>
      <c r="O253" s="810"/>
      <c r="P253" s="451"/>
      <c r="Q253" s="451"/>
      <c r="R253" s="452"/>
      <c r="S253" s="453"/>
      <c r="T253" s="97"/>
      <c r="U253" s="97"/>
      <c r="V253" s="97"/>
      <c r="W253" s="97"/>
      <c r="AX253" s="827"/>
      <c r="AY253" s="827"/>
      <c r="AZ253" s="829"/>
      <c r="BA253" s="829"/>
      <c r="BB253" s="829"/>
      <c r="BC253" s="829"/>
      <c r="BD253" s="829"/>
      <c r="BE253" s="829"/>
      <c r="BF253" s="827"/>
    </row>
    <row r="254" spans="1:58" ht="15.75" customHeight="1" thickBot="1">
      <c r="A254" s="1098" t="s">
        <v>400</v>
      </c>
      <c r="B254" s="1099"/>
      <c r="C254" s="1099"/>
      <c r="D254" s="1099"/>
      <c r="E254" s="1099"/>
      <c r="F254" s="1099"/>
      <c r="G254" s="1099"/>
      <c r="H254" s="1099"/>
      <c r="I254" s="1099"/>
      <c r="J254" s="1100"/>
      <c r="M254" s="810"/>
      <c r="N254" s="810"/>
      <c r="O254" s="810"/>
      <c r="P254" s="451"/>
      <c r="Q254" s="451"/>
      <c r="R254" s="452"/>
      <c r="S254" s="453"/>
      <c r="T254" s="97"/>
      <c r="U254" s="97"/>
      <c r="V254" s="97"/>
      <c r="W254" s="97"/>
      <c r="AX254" s="827"/>
      <c r="AY254" s="827"/>
      <c r="AZ254" s="829"/>
      <c r="BA254" s="829"/>
      <c r="BB254" s="829"/>
      <c r="BC254" s="829"/>
      <c r="BD254" s="829"/>
      <c r="BE254" s="829"/>
      <c r="BF254" s="827"/>
    </row>
    <row r="255" spans="1:58" ht="42" customHeight="1">
      <c r="A255" s="1096" t="s">
        <v>18</v>
      </c>
      <c r="B255" s="1097"/>
      <c r="C255" s="1039" t="s">
        <v>567</v>
      </c>
      <c r="D255" s="1030" t="s">
        <v>398</v>
      </c>
      <c r="E255" s="1030" t="s">
        <v>560</v>
      </c>
      <c r="F255" s="1030" t="s">
        <v>39</v>
      </c>
      <c r="G255" s="1031" t="s">
        <v>32</v>
      </c>
      <c r="H255" s="1030" t="s">
        <v>33</v>
      </c>
      <c r="I255" s="1032" t="s">
        <v>399</v>
      </c>
      <c r="J255" s="1032" t="s">
        <v>563</v>
      </c>
      <c r="M255" s="810"/>
      <c r="N255" s="810"/>
      <c r="O255" s="810"/>
      <c r="P255" s="451"/>
      <c r="Q255" s="451"/>
      <c r="R255" s="452"/>
      <c r="S255" s="453"/>
      <c r="T255" s="97"/>
      <c r="U255" s="97"/>
      <c r="V255" s="97"/>
      <c r="W255" s="97"/>
      <c r="AX255" s="827"/>
      <c r="AY255" s="827"/>
      <c r="AZ255" s="829"/>
      <c r="BA255" s="829"/>
      <c r="BB255" s="829"/>
      <c r="BC255" s="829"/>
      <c r="BD255" s="829"/>
      <c r="BE255" s="829"/>
      <c r="BF255" s="827"/>
    </row>
    <row r="256" spans="1:58" ht="15.75" thickBot="1">
      <c r="A256" s="56"/>
      <c r="B256" s="57"/>
      <c r="C256" s="61" t="s">
        <v>25</v>
      </c>
      <c r="D256" s="62"/>
      <c r="E256" s="62" t="s">
        <v>41</v>
      </c>
      <c r="F256" s="62" t="s">
        <v>28</v>
      </c>
      <c r="G256" s="33"/>
      <c r="H256" s="63"/>
      <c r="I256" s="64"/>
      <c r="J256" s="64" t="s">
        <v>253</v>
      </c>
      <c r="M256" s="810"/>
      <c r="N256" s="810"/>
      <c r="O256" s="810"/>
      <c r="P256" s="451"/>
      <c r="Q256" s="451"/>
      <c r="R256" s="452"/>
      <c r="S256" s="453"/>
      <c r="T256" s="97"/>
      <c r="U256" s="97"/>
      <c r="V256" s="97"/>
      <c r="W256" s="97"/>
      <c r="AX256" s="827"/>
      <c r="AY256" s="827"/>
      <c r="AZ256" s="829"/>
      <c r="BA256" s="829"/>
      <c r="BB256" s="829"/>
      <c r="BC256" s="829"/>
      <c r="BD256" s="829"/>
      <c r="BE256" s="829"/>
      <c r="BF256" s="827"/>
    </row>
    <row r="257" spans="1:58">
      <c r="A257" s="34">
        <f>A34</f>
        <v>1</v>
      </c>
      <c r="B257" s="923" t="str">
        <f>B34</f>
        <v/>
      </c>
      <c r="C257" s="976" t="str">
        <f>IF(B34="","",IF(J58="","",IF(J58="No","",C271/(1-L58))))</f>
        <v/>
      </c>
      <c r="D257" s="977" t="str">
        <f>IF(B34="","",K58)</f>
        <v/>
      </c>
      <c r="E257" s="937" t="str">
        <f t="shared" ref="E257:E262" si="63">IF(C257="","",IF(D257=C$588,60*C$592/C$594,IF(D257=D$588,60*D$592/D$594,IF(D257=E$588,60*E$592/E$594,"select fleet"))))</f>
        <v/>
      </c>
      <c r="F257" s="937" t="str">
        <f t="shared" ref="F257:F262" si="64">IF(C257="","",IF(L58&gt;0.5,(IF(D257=C$588,C257/60*(2+(2/3))*C$594/C$592,IF(D257=D$588,C257/60*(2+(2/3))*D$594/D$592,IF(D257=E$588,C257/60*(2+(2/3))*E$594/E$592,"select fleet")))),IF(D257=C$588,C257/60*(2)*C$594/C$592,IF(D257=D$588,C257/60*(2)*D$594/D$592,IF(D257=E$588,C257/60*(2)*E$594/E$592,"select fleet")))))</f>
        <v/>
      </c>
      <c r="G257" s="918" t="str">
        <f>IF(C257="","",F257*IF(K58=J$661,'Unit Costs'!B$40,IF(K58=J$662,'Unit Costs'!B$39,IF(K58=J$663,'Unit Costs'!B$38,"SelectFleet"))))</f>
        <v/>
      </c>
      <c r="H257" s="918" t="str">
        <f>IF(C257="","",F257*IF(K58=J$661,'Unit Costs'!C$40,IF(K58=J$662,'Unit Costs'!C$39,IF(K58=J$663,'Unit Costs'!C$38,"Select Fleet"))))</f>
        <v/>
      </c>
      <c r="I257" s="928">
        <f t="shared" ref="I257" si="65">SUM(G257:H257)</f>
        <v>0</v>
      </c>
      <c r="J257" s="927" t="str">
        <f>IF(C257="","",IF(C257=0,0,I257/C257))</f>
        <v/>
      </c>
      <c r="M257" s="810"/>
      <c r="N257" s="810"/>
      <c r="O257" s="810"/>
      <c r="P257" s="451"/>
      <c r="Q257" s="451"/>
      <c r="R257" s="452"/>
      <c r="S257" s="453"/>
      <c r="T257" s="97"/>
      <c r="U257" s="97"/>
      <c r="V257" s="97"/>
      <c r="W257" s="97"/>
      <c r="AX257" s="827"/>
      <c r="AY257" s="827"/>
      <c r="AZ257" s="829"/>
      <c r="BA257" s="829"/>
      <c r="BB257" s="829"/>
      <c r="BC257" s="829"/>
      <c r="BD257" s="829"/>
      <c r="BE257" s="829"/>
      <c r="BF257" s="827"/>
    </row>
    <row r="258" spans="1:58">
      <c r="A258" s="34">
        <f t="shared" ref="A258:B258" si="66">A35</f>
        <v>2</v>
      </c>
      <c r="B258" s="923" t="str">
        <f t="shared" si="66"/>
        <v/>
      </c>
      <c r="C258" s="976" t="str">
        <f t="shared" ref="C258:C262" si="67">IF(B35="","",IF(J59="","",IF(J59="No","",C272/(1-L59))))</f>
        <v/>
      </c>
      <c r="D258" s="977" t="str">
        <f t="shared" ref="D258:D262" si="68">IF(B35="","",K59)</f>
        <v/>
      </c>
      <c r="E258" s="937" t="str">
        <f t="shared" si="63"/>
        <v/>
      </c>
      <c r="F258" s="937" t="str">
        <f t="shared" si="64"/>
        <v/>
      </c>
      <c r="G258" s="918" t="str">
        <f>IF(C258="","",F258*IF(K59=J$661,'Unit Costs'!B$40,IF(K59=J$662,'Unit Costs'!B$39,IF(K59=J$663,'Unit Costs'!B$38,"SelectFleet"))))</f>
        <v/>
      </c>
      <c r="H258" s="918" t="str">
        <f>IF(C258="","",F258*IF(K59=J$661,'Unit Costs'!C$40,IF(K59=J$662,'Unit Costs'!C$39,IF(K59=J$663,'Unit Costs'!C$38,"Select Fleet"))))</f>
        <v/>
      </c>
      <c r="I258" s="928">
        <f t="shared" ref="I258:I262" si="69">SUM(G258:H258)</f>
        <v>0</v>
      </c>
      <c r="J258" s="929" t="str">
        <f t="shared" ref="J258:J262" si="70">IF(C258="","",IF(C258=0,0,I258/C258))</f>
        <v/>
      </c>
      <c r="M258" s="810"/>
      <c r="N258" s="810"/>
      <c r="O258" s="810"/>
      <c r="P258" s="451"/>
      <c r="Q258" s="451"/>
      <c r="R258" s="452"/>
      <c r="S258" s="453"/>
      <c r="T258" s="97"/>
      <c r="U258" s="97"/>
      <c r="V258" s="97"/>
      <c r="W258" s="97"/>
      <c r="AX258" s="827"/>
      <c r="AY258" s="827"/>
      <c r="AZ258" s="829"/>
      <c r="BA258" s="829"/>
      <c r="BB258" s="829"/>
      <c r="BC258" s="829"/>
      <c r="BD258" s="829"/>
      <c r="BE258" s="829"/>
      <c r="BF258" s="827"/>
    </row>
    <row r="259" spans="1:58">
      <c r="A259" s="34">
        <f t="shared" ref="A259:B259" si="71">A36</f>
        <v>3</v>
      </c>
      <c r="B259" s="923" t="str">
        <f t="shared" si="71"/>
        <v/>
      </c>
      <c r="C259" s="976" t="str">
        <f t="shared" si="67"/>
        <v/>
      </c>
      <c r="D259" s="977" t="str">
        <f t="shared" si="68"/>
        <v/>
      </c>
      <c r="E259" s="937" t="str">
        <f t="shared" si="63"/>
        <v/>
      </c>
      <c r="F259" s="937" t="str">
        <f t="shared" si="64"/>
        <v/>
      </c>
      <c r="G259" s="918" t="str">
        <f>IF(C259="","",F259*IF(K60=J$661,'Unit Costs'!B$40,IF(K60=J$662,'Unit Costs'!B$39,IF(K60=J$663,'Unit Costs'!B$38,"SelectFleet"))))</f>
        <v/>
      </c>
      <c r="H259" s="918" t="str">
        <f>IF(C259="","",F259*IF(K60=J$661,'Unit Costs'!C$40,IF(K60=J$662,'Unit Costs'!C$39,IF(K60=J$663,'Unit Costs'!C$38,"Select Fleet"))))</f>
        <v/>
      </c>
      <c r="I259" s="928">
        <f t="shared" si="69"/>
        <v>0</v>
      </c>
      <c r="J259" s="929" t="str">
        <f t="shared" si="70"/>
        <v/>
      </c>
      <c r="M259" s="810"/>
      <c r="N259" s="810"/>
      <c r="O259" s="810"/>
      <c r="P259" s="451"/>
      <c r="Q259" s="451"/>
      <c r="R259" s="452"/>
      <c r="S259" s="453"/>
      <c r="T259" s="97"/>
      <c r="U259" s="97"/>
      <c r="V259" s="97"/>
      <c r="W259" s="97"/>
      <c r="AX259" s="827"/>
      <c r="AY259" s="827"/>
      <c r="AZ259" s="829"/>
      <c r="BA259" s="829"/>
      <c r="BB259" s="829"/>
      <c r="BC259" s="829"/>
      <c r="BD259" s="829"/>
      <c r="BE259" s="829"/>
      <c r="BF259" s="827"/>
    </row>
    <row r="260" spans="1:58">
      <c r="A260" s="34">
        <f t="shared" ref="A260:B260" si="72">A37</f>
        <v>4</v>
      </c>
      <c r="B260" s="923" t="str">
        <f t="shared" si="72"/>
        <v/>
      </c>
      <c r="C260" s="976" t="str">
        <f t="shared" si="67"/>
        <v/>
      </c>
      <c r="D260" s="977" t="str">
        <f t="shared" si="68"/>
        <v/>
      </c>
      <c r="E260" s="937" t="str">
        <f t="shared" si="63"/>
        <v/>
      </c>
      <c r="F260" s="937" t="str">
        <f t="shared" si="64"/>
        <v/>
      </c>
      <c r="G260" s="918" t="str">
        <f>IF(C260="","",F260*IF(K61=J$661,'Unit Costs'!B$40,IF(K61=J$662,'Unit Costs'!B$39,IF(K61=J$663,'Unit Costs'!B$38,"SelectFleet"))))</f>
        <v/>
      </c>
      <c r="H260" s="918" t="str">
        <f>IF(C260="","",F260*IF(K61=J$661,'Unit Costs'!C$40,IF(K61=J$662,'Unit Costs'!C$39,IF(K61=J$663,'Unit Costs'!C$38,"Select Fleet"))))</f>
        <v/>
      </c>
      <c r="I260" s="928">
        <f t="shared" si="69"/>
        <v>0</v>
      </c>
      <c r="J260" s="929" t="str">
        <f t="shared" si="70"/>
        <v/>
      </c>
      <c r="M260" s="810"/>
      <c r="N260" s="810"/>
      <c r="O260" s="810"/>
      <c r="P260" s="451"/>
      <c r="Q260" s="451"/>
      <c r="R260" s="452"/>
      <c r="S260" s="453"/>
      <c r="T260" s="97"/>
      <c r="U260" s="97"/>
      <c r="V260" s="97"/>
      <c r="W260" s="97"/>
      <c r="AX260" s="827"/>
      <c r="AY260" s="827"/>
      <c r="AZ260" s="829"/>
      <c r="BA260" s="829"/>
      <c r="BB260" s="829"/>
      <c r="BC260" s="829"/>
      <c r="BD260" s="829"/>
      <c r="BE260" s="829"/>
      <c r="BF260" s="827"/>
    </row>
    <row r="261" spans="1:58">
      <c r="A261" s="34">
        <f t="shared" ref="A261:B261" si="73">A38</f>
        <v>5</v>
      </c>
      <c r="B261" s="923" t="str">
        <f t="shared" si="73"/>
        <v/>
      </c>
      <c r="C261" s="976" t="str">
        <f t="shared" si="67"/>
        <v/>
      </c>
      <c r="D261" s="977" t="str">
        <f t="shared" si="68"/>
        <v/>
      </c>
      <c r="E261" s="937" t="str">
        <f t="shared" si="63"/>
        <v/>
      </c>
      <c r="F261" s="937" t="str">
        <f t="shared" si="64"/>
        <v/>
      </c>
      <c r="G261" s="918" t="str">
        <f>IF(C261="","",F261*IF(K62=J$661,'Unit Costs'!B$40,IF(K62=J$662,'Unit Costs'!B$39,IF(K62=J$663,'Unit Costs'!B$38,"SelectFleet"))))</f>
        <v/>
      </c>
      <c r="H261" s="918" t="str">
        <f>IF(C261="","",F261*IF(K62=J$661,'Unit Costs'!C$40,IF(K62=J$662,'Unit Costs'!C$39,IF(K62=J$663,'Unit Costs'!C$38,"Select Fleet"))))</f>
        <v/>
      </c>
      <c r="I261" s="928">
        <f t="shared" si="69"/>
        <v>0</v>
      </c>
      <c r="J261" s="929" t="str">
        <f t="shared" si="70"/>
        <v/>
      </c>
      <c r="M261" s="810"/>
      <c r="N261" s="810"/>
      <c r="O261" s="810"/>
      <c r="P261" s="451"/>
      <c r="Q261" s="451"/>
      <c r="R261" s="452"/>
      <c r="S261" s="453"/>
      <c r="T261" s="97"/>
      <c r="U261" s="97"/>
      <c r="V261" s="97"/>
      <c r="W261" s="97"/>
      <c r="AX261" s="827"/>
      <c r="AY261" s="827"/>
      <c r="AZ261" s="829"/>
      <c r="BA261" s="829"/>
      <c r="BB261" s="829"/>
      <c r="BC261" s="829"/>
      <c r="BD261" s="829"/>
      <c r="BE261" s="829"/>
      <c r="BF261" s="827"/>
    </row>
    <row r="262" spans="1:58" ht="15.75" thickBot="1">
      <c r="A262" s="33">
        <f t="shared" ref="A262:B262" si="74">A39</f>
        <v>6</v>
      </c>
      <c r="B262" s="978" t="str">
        <f t="shared" si="74"/>
        <v/>
      </c>
      <c r="C262" s="976" t="str">
        <f t="shared" si="67"/>
        <v/>
      </c>
      <c r="D262" s="977" t="str">
        <f t="shared" si="68"/>
        <v/>
      </c>
      <c r="E262" s="937" t="str">
        <f t="shared" si="63"/>
        <v/>
      </c>
      <c r="F262" s="937" t="str">
        <f t="shared" si="64"/>
        <v/>
      </c>
      <c r="G262" s="918" t="str">
        <f>IF(C262="","",F262*IF(K63=J$661,'Unit Costs'!B$40,IF(K63=J$662,'Unit Costs'!B$39,IF(K63=J$663,'Unit Costs'!B$38,"SelectFleet"))))</f>
        <v/>
      </c>
      <c r="H262" s="918" t="str">
        <f>IF(C262="","",F262*IF(K63=J$661,'Unit Costs'!C$40,IF(K63=J$662,'Unit Costs'!C$39,IF(K63=J$663,'Unit Costs'!C$38,"Select Fleet"))))</f>
        <v/>
      </c>
      <c r="I262" s="928">
        <f t="shared" si="69"/>
        <v>0</v>
      </c>
      <c r="J262" s="979" t="str">
        <f t="shared" si="70"/>
        <v/>
      </c>
      <c r="M262" s="810"/>
      <c r="N262" s="810"/>
      <c r="O262" s="810"/>
      <c r="P262" s="451"/>
      <c r="Q262" s="451"/>
      <c r="R262" s="452"/>
      <c r="S262" s="453"/>
      <c r="T262" s="97"/>
      <c r="U262" s="97"/>
      <c r="V262" s="97"/>
      <c r="W262" s="97"/>
      <c r="AX262" s="827"/>
      <c r="AY262" s="827"/>
      <c r="AZ262" s="829"/>
      <c r="BA262" s="829"/>
      <c r="BB262" s="829"/>
      <c r="BC262" s="829"/>
      <c r="BD262" s="829"/>
      <c r="BE262" s="829"/>
      <c r="BF262" s="827"/>
    </row>
    <row r="263" spans="1:58" ht="15.75" thickBot="1">
      <c r="A263" s="121"/>
      <c r="B263" s="260"/>
      <c r="C263" s="980">
        <f>SUM(C257:C262)</f>
        <v>0</v>
      </c>
      <c r="D263" s="480"/>
      <c r="E263" s="480"/>
      <c r="F263" s="981">
        <f>SUM(F257:F262)</f>
        <v>0</v>
      </c>
      <c r="G263" s="920">
        <f>SUM(G257:G262)</f>
        <v>0</v>
      </c>
      <c r="H263" s="920">
        <f>SUM(H257:H262)</f>
        <v>0</v>
      </c>
      <c r="I263" s="934">
        <f>SUM(I257:I262)</f>
        <v>0</v>
      </c>
      <c r="M263" s="810"/>
      <c r="N263" s="810"/>
      <c r="O263" s="810"/>
      <c r="P263" s="451"/>
      <c r="Q263" s="451"/>
      <c r="R263" s="452"/>
      <c r="S263" s="453"/>
      <c r="T263" s="97"/>
      <c r="U263" s="97"/>
      <c r="V263" s="97"/>
      <c r="W263" s="97"/>
      <c r="AX263" s="827"/>
      <c r="AY263" s="827"/>
      <c r="AZ263" s="829"/>
      <c r="BA263" s="829"/>
      <c r="BB263" s="829"/>
      <c r="BC263" s="829"/>
      <c r="BD263" s="829"/>
      <c r="BE263" s="829"/>
      <c r="BF263" s="827"/>
    </row>
    <row r="264" spans="1:58">
      <c r="A264" s="121"/>
      <c r="B264" s="97"/>
      <c r="C264" s="65"/>
      <c r="D264" s="480"/>
      <c r="E264" s="480"/>
      <c r="F264" s="890"/>
      <c r="G264" s="72"/>
      <c r="H264" s="72"/>
      <c r="I264" s="72"/>
      <c r="M264" s="810"/>
      <c r="N264" s="810"/>
      <c r="O264" s="810"/>
      <c r="P264" s="451"/>
      <c r="Q264" s="451"/>
      <c r="R264" s="452"/>
      <c r="S264" s="453"/>
      <c r="T264" s="97"/>
      <c r="U264" s="97"/>
      <c r="V264" s="97"/>
      <c r="W264" s="97"/>
      <c r="AX264" s="827"/>
      <c r="AY264" s="827"/>
      <c r="AZ264" s="829"/>
      <c r="BA264" s="829"/>
      <c r="BB264" s="829"/>
      <c r="BC264" s="829"/>
      <c r="BD264" s="829"/>
      <c r="BE264" s="829"/>
      <c r="BF264" s="827"/>
    </row>
    <row r="265" spans="1:58">
      <c r="A265" s="121"/>
      <c r="M265" s="810"/>
      <c r="N265" s="810"/>
      <c r="O265" s="810"/>
      <c r="P265" s="451"/>
      <c r="Q265" s="451"/>
      <c r="R265" s="452"/>
      <c r="S265" s="453"/>
      <c r="T265" s="97"/>
      <c r="U265" s="97"/>
      <c r="V265" s="97"/>
      <c r="W265" s="97"/>
      <c r="AX265" s="827"/>
      <c r="AY265" s="827"/>
      <c r="AZ265" s="829"/>
      <c r="BA265" s="829"/>
      <c r="BB265" s="829"/>
      <c r="BC265" s="829"/>
      <c r="BD265" s="829"/>
      <c r="BE265" s="829"/>
      <c r="BF265" s="827"/>
    </row>
    <row r="266" spans="1:58" ht="15.75" thickBo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448"/>
      <c r="N266" s="449"/>
      <c r="O266" s="450"/>
      <c r="P266" s="451"/>
      <c r="Q266" s="451"/>
      <c r="R266" s="452"/>
      <c r="S266" s="453"/>
      <c r="T266" s="97"/>
      <c r="U266" s="97"/>
      <c r="V266" s="97"/>
      <c r="W266" s="97"/>
    </row>
    <row r="267" spans="1:58" ht="18.75" thickBot="1">
      <c r="A267" s="1117" t="s">
        <v>34</v>
      </c>
      <c r="B267" s="1118"/>
      <c r="C267" s="1118"/>
      <c r="D267" s="1118"/>
      <c r="E267" s="1118"/>
      <c r="F267" s="1118"/>
      <c r="G267" s="1118"/>
      <c r="H267" s="1118"/>
      <c r="I267" s="1118"/>
      <c r="J267" s="1119"/>
      <c r="K267" s="879"/>
      <c r="L267" s="880"/>
      <c r="U267" s="97"/>
      <c r="V267" s="97"/>
      <c r="W267" s="97"/>
    </row>
    <row r="268" spans="1:58" ht="16.5" thickBot="1">
      <c r="A268" s="49"/>
      <c r="B268" s="51"/>
      <c r="C268" s="843" t="s">
        <v>561</v>
      </c>
      <c r="D268" s="435"/>
      <c r="E268" s="105"/>
      <c r="F268" s="435"/>
      <c r="G268" s="435"/>
      <c r="H268" s="435"/>
      <c r="I268" s="435"/>
      <c r="J268" s="436"/>
      <c r="K268" s="304"/>
      <c r="L268" s="303"/>
      <c r="U268" s="97"/>
      <c r="V268" s="97"/>
      <c r="W268" s="97"/>
    </row>
    <row r="269" spans="1:58" ht="42.75" customHeight="1">
      <c r="A269" s="1096" t="s">
        <v>18</v>
      </c>
      <c r="B269" s="1097"/>
      <c r="C269" s="1039" t="s">
        <v>35</v>
      </c>
      <c r="D269" s="1030" t="s">
        <v>36</v>
      </c>
      <c r="E269" s="1037" t="s">
        <v>227</v>
      </c>
      <c r="F269" s="1030" t="s">
        <v>37</v>
      </c>
      <c r="G269" s="1030" t="s">
        <v>39</v>
      </c>
      <c r="H269" s="1031" t="s">
        <v>32</v>
      </c>
      <c r="I269" s="1030" t="s">
        <v>33</v>
      </c>
      <c r="J269" s="1033" t="s">
        <v>40</v>
      </c>
      <c r="K269" s="1032" t="s">
        <v>616</v>
      </c>
      <c r="L269" s="1032" t="s">
        <v>564</v>
      </c>
      <c r="U269" s="97"/>
      <c r="V269" s="97"/>
      <c r="W269" s="97"/>
    </row>
    <row r="270" spans="1:58" ht="15.75" thickBot="1">
      <c r="A270" s="56"/>
      <c r="B270" s="57"/>
      <c r="C270" s="61" t="s">
        <v>25</v>
      </c>
      <c r="D270" s="62"/>
      <c r="E270" s="112"/>
      <c r="F270" s="62" t="s">
        <v>41</v>
      </c>
      <c r="G270" s="62" t="s">
        <v>28</v>
      </c>
      <c r="H270" s="33"/>
      <c r="I270" s="63"/>
      <c r="J270" s="64"/>
      <c r="K270" s="64"/>
      <c r="L270" s="64" t="s">
        <v>253</v>
      </c>
      <c r="U270" s="97"/>
      <c r="W270" s="97"/>
    </row>
    <row r="271" spans="1:58">
      <c r="A271" s="34">
        <f>A$34</f>
        <v>1</v>
      </c>
      <c r="B271" s="923" t="str">
        <f t="shared" ref="B271:B276" si="75">B34</f>
        <v/>
      </c>
      <c r="C271" s="976" t="str">
        <f>IF(B34="","",(E34*E34/2/G34*(D34-E34)/2+(E34*E34*(E34/2/G34))/3-((E34/2/G34)-F34)*(E34-(2*F34*G34))*(D34-E34)/2-(((E34-(2*F34*G34))*(E34-(2*F34*G34)))*((E34/2/G34)-F34))/3)/27-(E34*E34/2/G34*(D34-E34)/2+(E34*E34*(E34/2/G34))/3-((E34/2/G34)-H34)*(E34-(2*H34*G34))*(D34-E34)/2-(((E34-(2*H34*G34))*(E34-(2*H34*G34)))*((E34/2/G34)-H34))/3)/27)</f>
        <v/>
      </c>
      <c r="D271" s="977" t="str">
        <f t="shared" ref="D271:D276" si="76">IF(D34="","",G58)</f>
        <v/>
      </c>
      <c r="E271" s="937" t="str">
        <f t="shared" ref="E271:E276" si="77">IF(B34="","",IF(H58=0,ROUNDUP((N542-L542)/L542,0),H58))</f>
        <v/>
      </c>
      <c r="F271" s="937" t="str">
        <f t="shared" ref="F271:F276" si="78">IF(B34="","",ROUND(0.83*E271*((IF(D271="769D 988G D7R",26.65,IF(D271="777D 992G D7R",66.8,"Select Fleet"))*60)/N542),0))</f>
        <v/>
      </c>
      <c r="G271" s="976" t="str">
        <f>IF(B34="","",ROUND(IF(B34="","",C271/F271),0))</f>
        <v/>
      </c>
      <c r="H271" s="918" t="str">
        <f>IF(B34="","",G271*IF(G58=B$660,'Unit Costs'!B$30+'Unit Costs'!B$35+'Unit Costs'!B$39,IF(G58=B$661,'Unit Costs'!B$29+'Unit Costs'!B$35+'Unit Costs'!B$38,0)))</f>
        <v/>
      </c>
      <c r="I271" s="918" t="str">
        <f>IF(B34="","",G271*IF(G58=B$660,'Unit Costs'!C$30+'Unit Costs'!C$35+'Unit Costs'!C$39,IF(G58=B$661,'Unit Costs'!C$29+'Unit Costs'!C$35+'Unit Costs'!C$38,0)))</f>
        <v/>
      </c>
      <c r="J271" s="918">
        <f t="shared" ref="J271:J276" si="79">SUM(H271:I271)</f>
        <v>0</v>
      </c>
      <c r="K271" s="928">
        <f t="shared" ref="K271:K276" si="80">I257+J271</f>
        <v>0</v>
      </c>
      <c r="L271" s="929">
        <f t="shared" ref="L271:L276" si="81">IF(C271="",0,(J271+I257)/C271)</f>
        <v>0</v>
      </c>
      <c r="W271" s="809"/>
    </row>
    <row r="272" spans="1:58">
      <c r="A272" s="34">
        <f>A$35</f>
        <v>2</v>
      </c>
      <c r="B272" s="923" t="str">
        <f t="shared" si="75"/>
        <v/>
      </c>
      <c r="C272" s="976" t="str">
        <f>IF(D35="","",(E35*E35/2/G35*(D35-E35)/2+(E35*E35*(E35/2/G35))/3-((E35/2/G35)-F35)*(E35-(2*F35*G35))*(D35-E35)/2-(((E35-(2*F35*G35))*(E35-(2*F35*G35)))*((E35/2/G35)-F35))/3)/27-(E35*E35/2/G35*(D35-E35)/2+(E35*E35*(E35/2/G35))/3-((E35/2/G35)-H35)*(E35-(2*H35*G35))*(D35-E35)/2-(((E35-(2*H35*G35))*(E35-(2*H35*G35)))*((E35/2/G35)-H35))/3)/27)</f>
        <v/>
      </c>
      <c r="D272" s="977" t="str">
        <f t="shared" si="76"/>
        <v/>
      </c>
      <c r="E272" s="937" t="str">
        <f t="shared" si="77"/>
        <v/>
      </c>
      <c r="F272" s="937" t="str">
        <f t="shared" si="78"/>
        <v/>
      </c>
      <c r="G272" s="976" t="str">
        <f t="shared" ref="G272:G276" si="82">IF(B35="","",ROUND(IF(B35="","",C272/F272),0))</f>
        <v/>
      </c>
      <c r="H272" s="918" t="str">
        <f>IF(D35="","",G272*IF(G59=B$660,'Unit Costs'!B$30+'Unit Costs'!B$35+'Unit Costs'!B$39,IF(G59=B$661,'Unit Costs'!B$29+'Unit Costs'!B$35+'Unit Costs'!B$38,0)))</f>
        <v/>
      </c>
      <c r="I272" s="918" t="str">
        <f>IF(D35="","",G272*IF(G59=B$660,'Unit Costs'!C$30+'Unit Costs'!C$35+'Unit Costs'!C$39,IF(G59=B$661,'Unit Costs'!C$29+'Unit Costs'!C$35+'Unit Costs'!C$38,0)))</f>
        <v/>
      </c>
      <c r="J272" s="918">
        <f t="shared" si="79"/>
        <v>0</v>
      </c>
      <c r="K272" s="928">
        <f t="shared" si="80"/>
        <v>0</v>
      </c>
      <c r="L272" s="929">
        <f t="shared" si="81"/>
        <v>0</v>
      </c>
      <c r="W272" s="809"/>
    </row>
    <row r="273" spans="1:59">
      <c r="A273" s="34">
        <f>A$36</f>
        <v>3</v>
      </c>
      <c r="B273" s="923" t="str">
        <f t="shared" si="75"/>
        <v/>
      </c>
      <c r="C273" s="976" t="str">
        <f>IF(D36="","",(E36*E36/2/G36*(D36-E36)/2+(E36*E36*(E36/2/G36))/3-((E36/2/G36)-F36)*(E36-(2*F36*G36))*(D36-E36)/2-(((E36-(2*F36*G36))*(E36-(2*F36*G36)))*((E36/2/G36)-F36))/3)/27-(E36*E36/2/G36*(D36-E36)/2+(E36*E36*(E36/2/G36))/3-((E36/2/G36)-H36)*(E36-(2*H36*G36))*(D36-E36)/2-(((E36-(2*H36*G36))*(E36-(2*H36*G36)))*((E36/2/G36)-H36))/3)/27)</f>
        <v/>
      </c>
      <c r="D273" s="977" t="str">
        <f t="shared" si="76"/>
        <v/>
      </c>
      <c r="E273" s="937" t="str">
        <f t="shared" si="77"/>
        <v/>
      </c>
      <c r="F273" s="937" t="str">
        <f t="shared" si="78"/>
        <v/>
      </c>
      <c r="G273" s="976" t="str">
        <f t="shared" si="82"/>
        <v/>
      </c>
      <c r="H273" s="918" t="str">
        <f>IF(D36="","",G273*IF(G60=B$660,'Unit Costs'!B$30+'Unit Costs'!B$35+'Unit Costs'!B$39,IF(G60=B$661,'Unit Costs'!B$29+'Unit Costs'!B$35+'Unit Costs'!B$38,0)))</f>
        <v/>
      </c>
      <c r="I273" s="918" t="str">
        <f>IF(D36="","",G273*IF(G60=B$660,'Unit Costs'!C$30+'Unit Costs'!C$35+'Unit Costs'!C$39,IF(G60=B$661,'Unit Costs'!C$29+'Unit Costs'!C$35+'Unit Costs'!C$38,0)))</f>
        <v/>
      </c>
      <c r="J273" s="918">
        <f t="shared" si="79"/>
        <v>0</v>
      </c>
      <c r="K273" s="928">
        <f t="shared" si="80"/>
        <v>0</v>
      </c>
      <c r="L273" s="929">
        <f t="shared" si="81"/>
        <v>0</v>
      </c>
      <c r="W273" s="809"/>
    </row>
    <row r="274" spans="1:59">
      <c r="A274" s="34">
        <f>A37</f>
        <v>4</v>
      </c>
      <c r="B274" s="923" t="str">
        <f t="shared" si="75"/>
        <v/>
      </c>
      <c r="C274" s="976" t="str">
        <f>IF(D37="","",(E37*E37/2/G37*(D37-E37)/2+(E37*E37*(E37/2/G37))/3-((E37/2/G37)-F37)*(E37-(2*F37*G37))*(D37-E37)/2-(((E37-(2*F37*G37))*(E37-(2*F37*G37)))*((E37/2/G37)-F37))/3)/27-(E37*E37/2/G37*(D37-E37)/2+(E37*E37*(E37/2/G37))/3-((E37/2/G37)-H37)*(E37-(2*H37*G37))*(D37-E37)/2-(((E37-(2*H37*G37))*(E37-(2*H37*G37)))*((E37/2/G37)-H37))/3)/27)</f>
        <v/>
      </c>
      <c r="D274" s="977" t="str">
        <f t="shared" si="76"/>
        <v/>
      </c>
      <c r="E274" s="937" t="str">
        <f t="shared" si="77"/>
        <v/>
      </c>
      <c r="F274" s="937" t="str">
        <f t="shared" si="78"/>
        <v/>
      </c>
      <c r="G274" s="976" t="str">
        <f t="shared" si="82"/>
        <v/>
      </c>
      <c r="H274" s="918" t="str">
        <f>IF(D37="","",G274*IF(G61=B$660,'Unit Costs'!B$30+'Unit Costs'!B$35+'Unit Costs'!B$39,IF(G61=B$661,'Unit Costs'!B$29+'Unit Costs'!B$35+'Unit Costs'!B$38,0)))</f>
        <v/>
      </c>
      <c r="I274" s="918" t="str">
        <f>IF(D37="","",G274*IF(G61=B$660,'Unit Costs'!C$30+'Unit Costs'!C$35+'Unit Costs'!C$39,IF(G61=B$661,'Unit Costs'!C$29+'Unit Costs'!C$35+'Unit Costs'!C$38,0)))</f>
        <v/>
      </c>
      <c r="J274" s="918">
        <f t="shared" si="79"/>
        <v>0</v>
      </c>
      <c r="K274" s="928">
        <f t="shared" si="80"/>
        <v>0</v>
      </c>
      <c r="L274" s="929">
        <f t="shared" si="81"/>
        <v>0</v>
      </c>
      <c r="W274" s="809"/>
    </row>
    <row r="275" spans="1:59">
      <c r="A275" s="34">
        <f>A38</f>
        <v>5</v>
      </c>
      <c r="B275" s="923" t="str">
        <f t="shared" si="75"/>
        <v/>
      </c>
      <c r="C275" s="976" t="str">
        <f>IF(D38="","",(E38*E38/2/G38*(D38-E38)/2+(E38*E38*(E38/2/G38))/3-((E38/2/G38)-F38)*(E38-(2*F38*G38))*(D38-E38)/2-(((E38-(2*F38*G38))*(E38-(2*F38*G38)))*((E38/2/G38)-F38))/3)/27-(E38*E38/2/G38*(D38-E38)/2+(E38*E38*(E38/2/G38))/3-((E38/2/G38)-H38)*(E38-(2*H38*G38))*(D38-E38)/2-(((E38-(2*H38*G38))*(E38-(2*H38*G38)))*((E38/2/G38)-H38))/3)/27)</f>
        <v/>
      </c>
      <c r="D275" s="977" t="str">
        <f t="shared" si="76"/>
        <v/>
      </c>
      <c r="E275" s="937" t="str">
        <f t="shared" si="77"/>
        <v/>
      </c>
      <c r="F275" s="937" t="str">
        <f t="shared" si="78"/>
        <v/>
      </c>
      <c r="G275" s="976" t="str">
        <f t="shared" si="82"/>
        <v/>
      </c>
      <c r="H275" s="918" t="str">
        <f>IF(D38="","",G275*IF(G62=B$660,'Unit Costs'!B$30+'Unit Costs'!B$35+'Unit Costs'!B$39,IF(G62=B$661,'Unit Costs'!B$29+'Unit Costs'!B$35+'Unit Costs'!B$38,0)))</f>
        <v/>
      </c>
      <c r="I275" s="918" t="str">
        <f>IF(D38="","",G275*IF(G62=B$660,'Unit Costs'!C$30+'Unit Costs'!C$35+'Unit Costs'!C$39,IF(G62=B$661,'Unit Costs'!C$29+'Unit Costs'!C$35+'Unit Costs'!C$38,0)))</f>
        <v/>
      </c>
      <c r="J275" s="918">
        <f t="shared" si="79"/>
        <v>0</v>
      </c>
      <c r="K275" s="928">
        <f t="shared" si="80"/>
        <v>0</v>
      </c>
      <c r="L275" s="929">
        <f t="shared" si="81"/>
        <v>0</v>
      </c>
      <c r="W275" s="809"/>
    </row>
    <row r="276" spans="1:59" ht="15.75" thickBot="1">
      <c r="A276" s="34">
        <f>A39</f>
        <v>6</v>
      </c>
      <c r="B276" s="923" t="str">
        <f t="shared" si="75"/>
        <v/>
      </c>
      <c r="C276" s="976" t="str">
        <f>IF(D39="","",(E39*E39/2/G39*(D39-E39)/2+(E39*E39*(E39/2/G39))/3-((E39/2/G39)-F39)*(E39-(2*F39*G39))*(D39-E39)/2-(((E39-(2*F39*G39))*(E39-(2*F39*G39)))*((E39/2/G39)-F39))/3)/27-(E39*E39/2/G39*(D39-E39)/2+(E39*E39*(E39/2/G39))/3-((E39/2/G39)-H39)*(E39-(2*H39*G39))*(D39-E39)/2-(((E39-(2*H39*G39))*(E39-(2*H39*G39)))*((E39/2/G39)-H39))/3)/27)</f>
        <v/>
      </c>
      <c r="D276" s="977" t="str">
        <f t="shared" si="76"/>
        <v/>
      </c>
      <c r="E276" s="937" t="str">
        <f t="shared" si="77"/>
        <v/>
      </c>
      <c r="F276" s="937" t="str">
        <f t="shared" si="78"/>
        <v/>
      </c>
      <c r="G276" s="976" t="str">
        <f t="shared" si="82"/>
        <v/>
      </c>
      <c r="H276" s="918" t="str">
        <f>IF(D39="","",G276*IF(G63=B$660,'Unit Costs'!B$30+'Unit Costs'!B$35+'Unit Costs'!B$39,IF(G63=B$661,'Unit Costs'!B$29+'Unit Costs'!B$35+'Unit Costs'!B$38,0)))</f>
        <v/>
      </c>
      <c r="I276" s="918" t="str">
        <f>IF(D39="","",G276*IF(G63=B$660,'Unit Costs'!C$30+'Unit Costs'!C$35+'Unit Costs'!C$39,IF(G63=B$661,'Unit Costs'!C$29+'Unit Costs'!C$35+'Unit Costs'!C$38,0)))</f>
        <v/>
      </c>
      <c r="J276" s="918">
        <f t="shared" si="79"/>
        <v>0</v>
      </c>
      <c r="K276" s="928">
        <f t="shared" si="80"/>
        <v>0</v>
      </c>
      <c r="L276" s="929">
        <f t="shared" si="81"/>
        <v>0</v>
      </c>
      <c r="W276" s="809"/>
    </row>
    <row r="277" spans="1:59" ht="15.75" thickBot="1">
      <c r="A277" s="48"/>
      <c r="B277" s="48"/>
      <c r="C277" s="975">
        <f>SUM(C271:C276)</f>
        <v>0</v>
      </c>
      <c r="D277" s="9"/>
      <c r="F277" s="9"/>
      <c r="G277" s="974">
        <f>SUM(G271:G276)</f>
        <v>0</v>
      </c>
      <c r="H277" s="920">
        <f>SUM(H271:H276)</f>
        <v>0</v>
      </c>
      <c r="I277" s="920">
        <f>SUM(I271:I276)</f>
        <v>0</v>
      </c>
      <c r="J277" s="934">
        <f>SUM(J271:J276)</f>
        <v>0</v>
      </c>
      <c r="K277" s="934">
        <f>SUM(K271:K276)</f>
        <v>0</v>
      </c>
      <c r="L277" s="454"/>
      <c r="U277" s="97"/>
      <c r="V277" s="97"/>
      <c r="W277" s="97"/>
      <c r="AC277" s="297"/>
      <c r="AD277" s="297"/>
      <c r="AE277" s="297"/>
      <c r="AF277" s="297"/>
      <c r="AG277" s="297"/>
      <c r="AH277" s="829"/>
      <c r="AI277" s="829"/>
      <c r="AJ277" s="829"/>
      <c r="AK277" s="829"/>
      <c r="AL277" s="829"/>
      <c r="AM277" s="827"/>
      <c r="AN277" s="829"/>
      <c r="AO277" s="829"/>
      <c r="AP277" s="829"/>
      <c r="AQ277" s="829"/>
      <c r="AR277" s="829"/>
      <c r="AS277" s="829"/>
      <c r="AT277" s="829"/>
      <c r="AU277" s="297"/>
      <c r="AV277" s="829"/>
      <c r="AW277" s="829"/>
      <c r="AX277" s="829"/>
      <c r="AY277" s="829"/>
      <c r="AZ277" s="829"/>
      <c r="BA277" s="297"/>
      <c r="BB277" s="829"/>
      <c r="BC277" s="829"/>
      <c r="BD277" s="829"/>
      <c r="BE277" s="829"/>
      <c r="BF277" s="829"/>
      <c r="BG277" s="829"/>
    </row>
    <row r="278" spans="1:59">
      <c r="C278" s="325"/>
      <c r="D278" s="9"/>
      <c r="E278" s="297"/>
      <c r="F278" s="9"/>
      <c r="G278" s="297"/>
      <c r="H278" s="71"/>
      <c r="I278" s="72"/>
      <c r="J278" s="72"/>
      <c r="K278" s="72"/>
      <c r="L278" s="325"/>
      <c r="M278" s="9"/>
      <c r="N278" s="9"/>
      <c r="O278" s="9"/>
      <c r="P278" s="71"/>
      <c r="Q278" s="72"/>
      <c r="R278" s="72"/>
      <c r="S278" s="72"/>
      <c r="AC278" s="297"/>
      <c r="AD278" s="297"/>
      <c r="AE278" s="297"/>
      <c r="AF278" s="297"/>
      <c r="AG278" s="297"/>
      <c r="AH278" s="829"/>
      <c r="AI278" s="829"/>
      <c r="AJ278" s="829"/>
      <c r="AK278" s="829"/>
      <c r="AL278" s="829"/>
      <c r="AM278" s="827"/>
      <c r="AN278" s="829"/>
      <c r="AO278" s="829"/>
      <c r="AP278" s="829"/>
      <c r="AQ278" s="829"/>
      <c r="AR278" s="829"/>
      <c r="AS278" s="829"/>
      <c r="AT278" s="829"/>
      <c r="AU278" s="297"/>
      <c r="AV278" s="829"/>
      <c r="AW278" s="829"/>
      <c r="AX278" s="829"/>
      <c r="AY278" s="829"/>
      <c r="AZ278" s="829"/>
      <c r="BA278" s="297"/>
      <c r="BB278" s="829"/>
      <c r="BC278" s="829"/>
      <c r="BD278" s="829"/>
      <c r="BE278" s="829"/>
      <c r="BF278" s="829"/>
      <c r="BG278" s="829"/>
    </row>
    <row r="279" spans="1:59">
      <c r="AC279" s="297"/>
      <c r="AD279" s="297"/>
      <c r="AE279" s="297"/>
      <c r="AF279" s="297"/>
      <c r="AG279" s="297"/>
      <c r="AH279" s="829"/>
      <c r="AI279" s="829"/>
      <c r="AJ279" s="829"/>
      <c r="AK279" s="829"/>
      <c r="AL279" s="829"/>
      <c r="AM279" s="827"/>
      <c r="AN279" s="829"/>
      <c r="AO279" s="829"/>
      <c r="AP279" s="829"/>
      <c r="AQ279" s="829"/>
      <c r="AR279" s="829"/>
      <c r="AS279" s="829"/>
      <c r="AT279" s="829"/>
      <c r="AU279" s="297"/>
      <c r="AV279" s="829"/>
      <c r="AW279" s="829"/>
      <c r="AX279" s="829"/>
      <c r="AY279" s="829"/>
      <c r="AZ279" s="829"/>
      <c r="BA279" s="297"/>
      <c r="BB279" s="829"/>
      <c r="BC279" s="829"/>
      <c r="BD279" s="829"/>
      <c r="BE279" s="829"/>
      <c r="BF279" s="829"/>
      <c r="BG279" s="829"/>
    </row>
    <row r="280" spans="1:59" ht="15" customHeight="1" thickBot="1">
      <c r="A280" s="9"/>
      <c r="B280" s="9"/>
      <c r="C280" s="65"/>
      <c r="D280" s="9"/>
      <c r="E280" s="9"/>
      <c r="F280" s="9"/>
      <c r="G280" s="9"/>
      <c r="H280" s="66"/>
      <c r="I280" s="66"/>
      <c r="J280" s="66"/>
      <c r="K280" s="9"/>
      <c r="L280" s="9"/>
      <c r="M280" s="9"/>
      <c r="N280" s="9"/>
      <c r="O280" s="9"/>
      <c r="P280" s="9"/>
      <c r="Q280" s="9"/>
      <c r="R280" s="9"/>
      <c r="AC280" s="297"/>
      <c r="AD280" s="297"/>
      <c r="AE280" s="297"/>
      <c r="AF280" s="297"/>
      <c r="AG280" s="297"/>
      <c r="AH280" s="829"/>
      <c r="AI280" s="829"/>
      <c r="AJ280" s="829"/>
      <c r="AK280" s="829"/>
      <c r="AL280" s="829"/>
      <c r="AM280" s="827"/>
      <c r="AN280" s="829"/>
      <c r="AO280" s="829"/>
      <c r="AP280" s="829"/>
      <c r="AQ280" s="829"/>
      <c r="AR280" s="829"/>
      <c r="AS280" s="829"/>
      <c r="AT280" s="829"/>
      <c r="AU280" s="297"/>
      <c r="AV280" s="829"/>
      <c r="AW280" s="829"/>
      <c r="AX280" s="829"/>
      <c r="AY280" s="829"/>
      <c r="AZ280" s="829"/>
      <c r="BA280" s="297"/>
      <c r="BB280" s="829"/>
      <c r="BC280" s="829"/>
      <c r="BD280" s="829"/>
      <c r="BE280" s="829"/>
      <c r="BF280" s="829"/>
      <c r="BG280" s="829"/>
    </row>
    <row r="281" spans="1:59" ht="18.75" thickBot="1">
      <c r="A281" s="1117" t="s">
        <v>144</v>
      </c>
      <c r="B281" s="1118"/>
      <c r="C281" s="1118"/>
      <c r="D281" s="1118"/>
      <c r="E281" s="1118"/>
      <c r="F281" s="1118"/>
      <c r="G281" s="1118"/>
      <c r="H281" s="1118"/>
      <c r="I281" s="1118"/>
      <c r="J281" s="1118"/>
      <c r="K281" s="1118"/>
      <c r="L281" s="1118"/>
      <c r="M281" s="1118"/>
      <c r="N281" s="1119"/>
      <c r="T281" s="126"/>
      <c r="U281" s="549"/>
    </row>
    <row r="282" spans="1:59" ht="16.5" customHeight="1" thickBot="1">
      <c r="A282" s="49"/>
      <c r="B282" s="50"/>
      <c r="C282" s="50"/>
      <c r="D282" s="1140" t="s">
        <v>136</v>
      </c>
      <c r="E282" s="1141"/>
      <c r="F282" s="1141"/>
      <c r="G282" s="1141"/>
      <c r="H282" s="1142"/>
      <c r="I282" s="1140" t="s">
        <v>609</v>
      </c>
      <c r="J282" s="1141"/>
      <c r="K282" s="1141"/>
      <c r="L282" s="1141"/>
      <c r="M282" s="1141"/>
      <c r="N282" s="1142"/>
    </row>
    <row r="283" spans="1:59" ht="46.5" customHeight="1">
      <c r="A283" s="1096" t="s">
        <v>18</v>
      </c>
      <c r="B283" s="1157"/>
      <c r="C283" s="1039" t="s">
        <v>65</v>
      </c>
      <c r="D283" s="1031" t="s">
        <v>73</v>
      </c>
      <c r="E283" s="1031" t="s">
        <v>31</v>
      </c>
      <c r="F283" s="1031" t="s">
        <v>141</v>
      </c>
      <c r="G283" s="1030" t="s">
        <v>142</v>
      </c>
      <c r="H283" s="1032" t="s">
        <v>137</v>
      </c>
      <c r="I283" s="1031" t="s">
        <v>51</v>
      </c>
      <c r="J283" s="1031" t="s">
        <v>31</v>
      </c>
      <c r="K283" s="1031" t="s">
        <v>147</v>
      </c>
      <c r="L283" s="1030" t="s">
        <v>99</v>
      </c>
      <c r="M283" s="1030" t="s">
        <v>146</v>
      </c>
      <c r="N283" s="1032" t="s">
        <v>64</v>
      </c>
      <c r="AH283" s="827"/>
      <c r="AI283" s="827"/>
      <c r="AJ283" s="827"/>
      <c r="AK283" s="827"/>
      <c r="AL283" s="827"/>
      <c r="AM283" s="827"/>
      <c r="AN283" s="827"/>
    </row>
    <row r="284" spans="1:59" ht="15.75" customHeight="1" thickBot="1">
      <c r="A284" s="56"/>
      <c r="B284" s="57"/>
      <c r="C284" s="61" t="s">
        <v>21</v>
      </c>
      <c r="D284" s="58" t="s">
        <v>25</v>
      </c>
      <c r="E284" s="58" t="s">
        <v>28</v>
      </c>
      <c r="F284" s="58"/>
      <c r="G284" s="59"/>
      <c r="H284" s="60"/>
      <c r="I284" s="84" t="s">
        <v>52</v>
      </c>
      <c r="J284" s="58" t="s">
        <v>28</v>
      </c>
      <c r="K284" s="33"/>
      <c r="L284" s="63"/>
      <c r="M284" s="63"/>
      <c r="N284" s="64"/>
      <c r="AM284" s="831"/>
      <c r="AN284" s="827"/>
    </row>
    <row r="285" spans="1:59" ht="15.75" customHeight="1">
      <c r="A285" s="34">
        <f>A$34</f>
        <v>1</v>
      </c>
      <c r="B285" s="917" t="str">
        <f t="shared" ref="B285:B290" si="83">B34</f>
        <v/>
      </c>
      <c r="C285" s="976">
        <f t="shared" ref="C285:C290" si="84">IF(B34="",0,K102+M102)</f>
        <v>0</v>
      </c>
      <c r="D285" s="976">
        <f t="shared" ref="D285:D290" si="85">C285*3*2/27</f>
        <v>0</v>
      </c>
      <c r="E285" s="976">
        <f>D285/'Unit Costs'!F$73</f>
        <v>0</v>
      </c>
      <c r="F285" s="918">
        <f>D285*'Unit Costs'!H$73</f>
        <v>0</v>
      </c>
      <c r="G285" s="918">
        <f>D285*'Unit Costs'!I$73</f>
        <v>0</v>
      </c>
      <c r="H285" s="918">
        <f t="shared" ref="H285:H290" si="86">SUM(F285:G285)</f>
        <v>0</v>
      </c>
      <c r="I285" s="976">
        <f>IF(C285=0,0,'Unit Costs'!F$78)</f>
        <v>0</v>
      </c>
      <c r="J285" s="982">
        <f t="shared" ref="J285:J290" si="87">IF(C285=0,0,C285/I285)</f>
        <v>0</v>
      </c>
      <c r="K285" s="918">
        <f>('Unit Costs'!H$78+'Unit Costs'!H$77)*C285</f>
        <v>0</v>
      </c>
      <c r="L285" s="918">
        <f>('Unit Costs'!I$77+'Unit Costs'!I$78)*C285</f>
        <v>0</v>
      </c>
      <c r="M285" s="918">
        <f>IF(C285=0,0,('Unit Costs'!G$77+'Unit Costs'!G$78)*C285)</f>
        <v>0</v>
      </c>
      <c r="N285" s="918">
        <f t="shared" ref="N285:N290" si="88">SUM(K285:M285)</f>
        <v>0</v>
      </c>
      <c r="T285" s="127"/>
      <c r="AM285" s="834"/>
      <c r="AN285" s="827"/>
    </row>
    <row r="286" spans="1:59" ht="15.75" customHeight="1">
      <c r="A286" s="34">
        <f>A$35</f>
        <v>2</v>
      </c>
      <c r="B286" s="917" t="str">
        <f t="shared" si="83"/>
        <v/>
      </c>
      <c r="C286" s="976">
        <f t="shared" si="84"/>
        <v>0</v>
      </c>
      <c r="D286" s="976">
        <f t="shared" si="85"/>
        <v>0</v>
      </c>
      <c r="E286" s="976">
        <f>D286/'Unit Costs'!F$73</f>
        <v>0</v>
      </c>
      <c r="F286" s="918">
        <f>D286*'Unit Costs'!H$73</f>
        <v>0</v>
      </c>
      <c r="G286" s="918">
        <f>D286*'Unit Costs'!I$73</f>
        <v>0</v>
      </c>
      <c r="H286" s="918">
        <f t="shared" si="86"/>
        <v>0</v>
      </c>
      <c r="I286" s="976">
        <f>IF(C286=0,0,'Unit Costs'!F$78)</f>
        <v>0</v>
      </c>
      <c r="J286" s="982">
        <f t="shared" si="87"/>
        <v>0</v>
      </c>
      <c r="K286" s="918">
        <f>('Unit Costs'!H$78+'Unit Costs'!H$77)*C286</f>
        <v>0</v>
      </c>
      <c r="L286" s="918">
        <f>('Unit Costs'!I$77+'Unit Costs'!I$78)*C286</f>
        <v>0</v>
      </c>
      <c r="M286" s="918">
        <f>IF(C286=0,0,('Unit Costs'!G$77+'Unit Costs'!G$78)*C286)</f>
        <v>0</v>
      </c>
      <c r="N286" s="918">
        <f t="shared" si="88"/>
        <v>0</v>
      </c>
      <c r="AM286" s="827"/>
      <c r="AN286" s="835"/>
    </row>
    <row r="287" spans="1:59" ht="15.75" customHeight="1">
      <c r="A287" s="34">
        <f>A$36</f>
        <v>3</v>
      </c>
      <c r="B287" s="917" t="str">
        <f t="shared" si="83"/>
        <v/>
      </c>
      <c r="C287" s="976">
        <f t="shared" si="84"/>
        <v>0</v>
      </c>
      <c r="D287" s="976">
        <f t="shared" si="85"/>
        <v>0</v>
      </c>
      <c r="E287" s="976">
        <f>D287/'Unit Costs'!F$73</f>
        <v>0</v>
      </c>
      <c r="F287" s="918">
        <f>D287*'Unit Costs'!H$73</f>
        <v>0</v>
      </c>
      <c r="G287" s="918">
        <f>D287*'Unit Costs'!I$73</f>
        <v>0</v>
      </c>
      <c r="H287" s="918">
        <f t="shared" si="86"/>
        <v>0</v>
      </c>
      <c r="I287" s="976">
        <f>IF(C287=0,0,'Unit Costs'!F$78)</f>
        <v>0</v>
      </c>
      <c r="J287" s="982">
        <f t="shared" si="87"/>
        <v>0</v>
      </c>
      <c r="K287" s="918">
        <f>('Unit Costs'!H$78+'Unit Costs'!H$77)*C287</f>
        <v>0</v>
      </c>
      <c r="L287" s="918">
        <f>('Unit Costs'!I$77+'Unit Costs'!I$78)*C287</f>
        <v>0</v>
      </c>
      <c r="M287" s="918">
        <f>IF(C287=0,0,('Unit Costs'!G$77+'Unit Costs'!G$78)*C287)</f>
        <v>0</v>
      </c>
      <c r="N287" s="918">
        <f t="shared" si="88"/>
        <v>0</v>
      </c>
      <c r="AM287" s="829"/>
    </row>
    <row r="288" spans="1:59" ht="15.75" customHeight="1">
      <c r="A288" s="34">
        <f>A37</f>
        <v>4</v>
      </c>
      <c r="B288" s="917" t="str">
        <f t="shared" si="83"/>
        <v/>
      </c>
      <c r="C288" s="976">
        <f t="shared" si="84"/>
        <v>0</v>
      </c>
      <c r="D288" s="976">
        <f t="shared" si="85"/>
        <v>0</v>
      </c>
      <c r="E288" s="976">
        <f>D288/'Unit Costs'!F$73</f>
        <v>0</v>
      </c>
      <c r="F288" s="918">
        <f>D288*'Unit Costs'!H$73</f>
        <v>0</v>
      </c>
      <c r="G288" s="918">
        <f>D288*'Unit Costs'!I$73</f>
        <v>0</v>
      </c>
      <c r="H288" s="918">
        <f t="shared" si="86"/>
        <v>0</v>
      </c>
      <c r="I288" s="976">
        <f>IF(C288=0,0,'Unit Costs'!F$78)</f>
        <v>0</v>
      </c>
      <c r="J288" s="982">
        <f t="shared" si="87"/>
        <v>0</v>
      </c>
      <c r="K288" s="918">
        <f>('Unit Costs'!H$78+'Unit Costs'!H$77)*C288</f>
        <v>0</v>
      </c>
      <c r="L288" s="918">
        <f>('Unit Costs'!I$77+'Unit Costs'!I$78)*C288</f>
        <v>0</v>
      </c>
      <c r="M288" s="918">
        <f>IF(C288=0,0,('Unit Costs'!G$77+'Unit Costs'!G$78)*C288)</f>
        <v>0</v>
      </c>
      <c r="N288" s="918">
        <f t="shared" si="88"/>
        <v>0</v>
      </c>
      <c r="AH288" s="827"/>
      <c r="AI288" s="827"/>
      <c r="AJ288" s="827"/>
      <c r="AK288" s="827"/>
      <c r="AL288" s="827"/>
      <c r="AM288" s="827"/>
    </row>
    <row r="289" spans="1:31" ht="15.75" customHeight="1">
      <c r="A289" s="34">
        <f>A38</f>
        <v>5</v>
      </c>
      <c r="B289" s="917" t="str">
        <f t="shared" si="83"/>
        <v/>
      </c>
      <c r="C289" s="976">
        <f t="shared" si="84"/>
        <v>0</v>
      </c>
      <c r="D289" s="976">
        <f t="shared" si="85"/>
        <v>0</v>
      </c>
      <c r="E289" s="976">
        <f>D289/'Unit Costs'!F$73</f>
        <v>0</v>
      </c>
      <c r="F289" s="918">
        <f>D289*'Unit Costs'!H$73</f>
        <v>0</v>
      </c>
      <c r="G289" s="918">
        <f>D289*'Unit Costs'!I$73</f>
        <v>0</v>
      </c>
      <c r="H289" s="918">
        <f t="shared" si="86"/>
        <v>0</v>
      </c>
      <c r="I289" s="976">
        <f>IF(C289=0,0,'Unit Costs'!F$78)</f>
        <v>0</v>
      </c>
      <c r="J289" s="982">
        <f t="shared" si="87"/>
        <v>0</v>
      </c>
      <c r="K289" s="918">
        <f>('Unit Costs'!H$78+'Unit Costs'!H$77)*C289</f>
        <v>0</v>
      </c>
      <c r="L289" s="918">
        <f>('Unit Costs'!I$77+'Unit Costs'!I$78)*C289</f>
        <v>0</v>
      </c>
      <c r="M289" s="918">
        <f>IF(C289=0,0,('Unit Costs'!G$77+'Unit Costs'!G$78)*C289)</f>
        <v>0</v>
      </c>
      <c r="N289" s="918">
        <f t="shared" si="88"/>
        <v>0</v>
      </c>
      <c r="AE289" s="827"/>
    </row>
    <row r="290" spans="1:31" ht="15.75" customHeight="1" thickBot="1">
      <c r="A290" s="34">
        <f>A39</f>
        <v>6</v>
      </c>
      <c r="B290" s="917" t="str">
        <f t="shared" si="83"/>
        <v/>
      </c>
      <c r="C290" s="976">
        <f t="shared" si="84"/>
        <v>0</v>
      </c>
      <c r="D290" s="976">
        <f t="shared" si="85"/>
        <v>0</v>
      </c>
      <c r="E290" s="976">
        <f>D290/'Unit Costs'!F$73</f>
        <v>0</v>
      </c>
      <c r="F290" s="918">
        <f>D290*'Unit Costs'!H$73</f>
        <v>0</v>
      </c>
      <c r="G290" s="918">
        <f>D290*'Unit Costs'!I$73</f>
        <v>0</v>
      </c>
      <c r="H290" s="918">
        <f t="shared" si="86"/>
        <v>0</v>
      </c>
      <c r="I290" s="976">
        <f>IF(C290=0,0,'Unit Costs'!F$78)</f>
        <v>0</v>
      </c>
      <c r="J290" s="982">
        <f t="shared" si="87"/>
        <v>0</v>
      </c>
      <c r="K290" s="918">
        <f>('Unit Costs'!H$78+'Unit Costs'!H$77)*C290</f>
        <v>0</v>
      </c>
      <c r="L290" s="918">
        <f>('Unit Costs'!I$77+'Unit Costs'!I$78)*C290</f>
        <v>0</v>
      </c>
      <c r="M290" s="918">
        <f>IF(C290=0,0,('Unit Costs'!G$77+'Unit Costs'!G$78)*C290)</f>
        <v>0</v>
      </c>
      <c r="N290" s="918">
        <f t="shared" si="88"/>
        <v>0</v>
      </c>
      <c r="AE290" s="827"/>
    </row>
    <row r="291" spans="1:31" ht="15.75" customHeight="1" thickBot="1">
      <c r="A291" s="48"/>
      <c r="B291" s="48"/>
      <c r="C291" s="974">
        <f t="shared" ref="C291:H291" si="89">SUM(C285:C290)</f>
        <v>0</v>
      </c>
      <c r="D291" s="932">
        <f t="shared" si="89"/>
        <v>0</v>
      </c>
      <c r="E291" s="983">
        <f t="shared" si="89"/>
        <v>0</v>
      </c>
      <c r="F291" s="920">
        <f t="shared" si="89"/>
        <v>0</v>
      </c>
      <c r="G291" s="920">
        <f t="shared" si="89"/>
        <v>0</v>
      </c>
      <c r="H291" s="920">
        <f t="shared" si="89"/>
        <v>0</v>
      </c>
      <c r="I291" s="124"/>
      <c r="J291" s="932">
        <f t="shared" ref="J291:N291" si="90">SUM(J285:J290)</f>
        <v>0</v>
      </c>
      <c r="K291" s="920">
        <f t="shared" si="90"/>
        <v>0</v>
      </c>
      <c r="L291" s="921">
        <f t="shared" si="90"/>
        <v>0</v>
      </c>
      <c r="M291" s="921">
        <f t="shared" si="90"/>
        <v>0</v>
      </c>
      <c r="N291" s="922">
        <f t="shared" si="90"/>
        <v>0</v>
      </c>
      <c r="AE291" s="827"/>
    </row>
    <row r="292" spans="1:31" ht="15.75" customHeight="1">
      <c r="A292" s="9"/>
      <c r="B292" s="9"/>
      <c r="C292" s="88"/>
      <c r="D292" s="71"/>
      <c r="E292" s="71"/>
      <c r="F292" s="72"/>
      <c r="G292" s="72"/>
      <c r="H292" s="72"/>
      <c r="I292" s="72"/>
      <c r="J292" s="9"/>
      <c r="K292" s="9"/>
      <c r="L292" s="9"/>
      <c r="M292" s="9"/>
      <c r="N292" s="9"/>
      <c r="O292" s="9"/>
      <c r="P292" s="9"/>
      <c r="Q292" s="9"/>
      <c r="R292" s="9"/>
      <c r="AE292" s="827"/>
    </row>
    <row r="293" spans="1:31" ht="15.75" customHeight="1">
      <c r="A293" s="9"/>
      <c r="B293" s="9"/>
      <c r="C293" s="88"/>
      <c r="D293" s="71"/>
      <c r="E293" s="71"/>
      <c r="F293" s="72"/>
      <c r="G293" s="72"/>
      <c r="H293" s="72"/>
      <c r="I293" s="72"/>
      <c r="J293" s="9"/>
      <c r="K293" s="9"/>
      <c r="L293" s="9"/>
      <c r="M293" s="9"/>
      <c r="N293" s="9"/>
      <c r="O293" s="9"/>
      <c r="P293" s="9"/>
      <c r="Q293" s="9"/>
      <c r="R293" s="9"/>
      <c r="AE293" s="827"/>
    </row>
    <row r="294" spans="1:31" ht="15.75" customHeight="1" thickBot="1">
      <c r="A294" s="9"/>
      <c r="B294" s="9"/>
      <c r="C294" s="88"/>
      <c r="D294" s="71"/>
      <c r="E294" s="71"/>
      <c r="F294" s="72"/>
      <c r="G294" s="72"/>
      <c r="H294" s="72"/>
      <c r="I294" s="72"/>
      <c r="J294" s="9"/>
      <c r="K294" s="9"/>
      <c r="L294" s="9"/>
      <c r="M294" s="9"/>
      <c r="N294" s="9"/>
      <c r="O294" s="9"/>
      <c r="P294" s="9"/>
      <c r="Q294" s="9"/>
      <c r="R294" s="9"/>
      <c r="AE294" s="827"/>
    </row>
    <row r="295" spans="1:31" ht="18" customHeight="1" thickBot="1">
      <c r="A295" s="1117" t="s">
        <v>617</v>
      </c>
      <c r="B295" s="1118"/>
      <c r="C295" s="1118"/>
      <c r="D295" s="1118"/>
      <c r="E295" s="1118"/>
      <c r="F295" s="1118"/>
      <c r="G295" s="1119"/>
      <c r="H295" s="126"/>
      <c r="I295" s="126"/>
      <c r="J295" s="126"/>
      <c r="K295" s="126"/>
      <c r="L295" s="126"/>
      <c r="M295" s="126"/>
      <c r="N295" s="126"/>
      <c r="O295" s="9"/>
      <c r="P295" s="9"/>
      <c r="Q295" s="9"/>
      <c r="R295" s="9"/>
      <c r="AE295" s="827"/>
    </row>
    <row r="296" spans="1:31" ht="15.75" customHeight="1" thickBot="1">
      <c r="A296" s="882"/>
      <c r="B296" s="882"/>
      <c r="C296" s="881" t="s">
        <v>609</v>
      </c>
      <c r="D296" s="882"/>
      <c r="E296" s="882"/>
      <c r="F296" s="883"/>
      <c r="G296" s="107"/>
      <c r="H296" s="72"/>
      <c r="I296" s="72"/>
      <c r="J296" s="9"/>
      <c r="K296" s="9"/>
      <c r="L296" s="9"/>
      <c r="M296" s="9"/>
      <c r="N296" s="9"/>
      <c r="O296" s="9"/>
      <c r="P296" s="9"/>
      <c r="Q296" s="9"/>
      <c r="R296" s="9"/>
      <c r="AE296" s="827"/>
    </row>
    <row r="297" spans="1:31" ht="43.5" customHeight="1">
      <c r="A297" s="1096" t="s">
        <v>18</v>
      </c>
      <c r="B297" s="1157"/>
      <c r="C297" s="1031" t="s">
        <v>138</v>
      </c>
      <c r="D297" s="1030" t="s">
        <v>139</v>
      </c>
      <c r="E297" s="1030" t="s">
        <v>140</v>
      </c>
      <c r="F297" s="1032" t="s">
        <v>64</v>
      </c>
      <c r="G297" s="1038" t="s">
        <v>505</v>
      </c>
      <c r="H297" s="72"/>
      <c r="I297" s="72"/>
      <c r="J297" s="9"/>
      <c r="K297" s="9"/>
      <c r="L297" s="9"/>
      <c r="M297" s="9"/>
      <c r="N297" s="9"/>
      <c r="O297" s="9"/>
      <c r="P297" s="9"/>
      <c r="Q297" s="9"/>
      <c r="R297" s="9"/>
      <c r="AE297" s="827"/>
    </row>
    <row r="298" spans="1:31" ht="15.75" customHeight="1" thickBot="1">
      <c r="A298" s="56"/>
      <c r="B298" s="57"/>
      <c r="C298" s="33"/>
      <c r="D298" s="63"/>
      <c r="E298" s="63"/>
      <c r="F298" s="64"/>
      <c r="G298" s="310" t="s">
        <v>254</v>
      </c>
      <c r="H298" s="72"/>
      <c r="I298" s="72"/>
      <c r="J298" s="9"/>
      <c r="K298" s="9"/>
      <c r="L298" s="9"/>
      <c r="M298" s="9"/>
      <c r="N298" s="9"/>
      <c r="O298" s="9"/>
      <c r="P298" s="9"/>
      <c r="Q298" s="9"/>
      <c r="R298" s="9"/>
      <c r="AE298" s="827"/>
    </row>
    <row r="299" spans="1:31" ht="15.75" customHeight="1">
      <c r="A299" s="34">
        <f>A$34</f>
        <v>1</v>
      </c>
      <c r="B299" s="917" t="str">
        <f>B34</f>
        <v/>
      </c>
      <c r="C299" s="918">
        <f t="shared" ref="C299:D304" si="91">K285+F285</f>
        <v>0</v>
      </c>
      <c r="D299" s="918">
        <f t="shared" si="91"/>
        <v>0</v>
      </c>
      <c r="E299" s="918">
        <f t="shared" ref="E299:E304" si="92">M285</f>
        <v>0</v>
      </c>
      <c r="F299" s="918">
        <f t="shared" ref="F299:F304" si="93">SUM(C299:E299)</f>
        <v>0</v>
      </c>
      <c r="G299" s="927">
        <f t="shared" ref="G299:G304" si="94">IF(C285=0,0,F299/C285)</f>
        <v>0</v>
      </c>
      <c r="H299" s="72"/>
      <c r="I299" s="72"/>
      <c r="J299" s="916"/>
      <c r="K299" s="9"/>
      <c r="L299" s="9"/>
      <c r="M299" s="9"/>
      <c r="N299" s="9"/>
      <c r="O299" s="9"/>
      <c r="P299" s="9"/>
      <c r="Q299" s="9"/>
      <c r="R299" s="9"/>
      <c r="AE299" s="827"/>
    </row>
    <row r="300" spans="1:31" ht="15.75" customHeight="1">
      <c r="A300" s="34">
        <f>A$35</f>
        <v>2</v>
      </c>
      <c r="B300" s="917" t="str">
        <f t="shared" ref="B300:B304" si="95">B35</f>
        <v/>
      </c>
      <c r="C300" s="918">
        <f t="shared" si="91"/>
        <v>0</v>
      </c>
      <c r="D300" s="918">
        <f t="shared" si="91"/>
        <v>0</v>
      </c>
      <c r="E300" s="918">
        <f t="shared" si="92"/>
        <v>0</v>
      </c>
      <c r="F300" s="918">
        <f t="shared" si="93"/>
        <v>0</v>
      </c>
      <c r="G300" s="929">
        <f t="shared" si="94"/>
        <v>0</v>
      </c>
      <c r="H300" s="72"/>
      <c r="I300" s="72"/>
      <c r="J300" s="9"/>
      <c r="K300" s="9"/>
      <c r="L300" s="9"/>
      <c r="M300" s="9"/>
      <c r="N300" s="9"/>
      <c r="O300" s="9"/>
      <c r="P300" s="9"/>
      <c r="Q300" s="9"/>
      <c r="R300" s="9"/>
      <c r="AE300" s="827"/>
    </row>
    <row r="301" spans="1:31" ht="15.75" customHeight="1">
      <c r="A301" s="34">
        <f>A$36</f>
        <v>3</v>
      </c>
      <c r="B301" s="917" t="str">
        <f t="shared" si="95"/>
        <v/>
      </c>
      <c r="C301" s="918">
        <f t="shared" si="91"/>
        <v>0</v>
      </c>
      <c r="D301" s="918">
        <f t="shared" si="91"/>
        <v>0</v>
      </c>
      <c r="E301" s="918">
        <f t="shared" si="92"/>
        <v>0</v>
      </c>
      <c r="F301" s="918">
        <f t="shared" si="93"/>
        <v>0</v>
      </c>
      <c r="G301" s="929">
        <f t="shared" si="94"/>
        <v>0</v>
      </c>
      <c r="H301" s="72"/>
      <c r="I301" s="72"/>
      <c r="J301" s="9"/>
      <c r="K301" s="9"/>
      <c r="L301" s="9"/>
      <c r="M301" s="9"/>
      <c r="N301" s="9"/>
      <c r="O301" s="9"/>
      <c r="P301" s="9"/>
      <c r="Q301" s="9"/>
      <c r="R301" s="9"/>
      <c r="AE301" s="827"/>
    </row>
    <row r="302" spans="1:31" ht="15.75" customHeight="1">
      <c r="A302" s="34">
        <f>A37</f>
        <v>4</v>
      </c>
      <c r="B302" s="917" t="str">
        <f t="shared" si="95"/>
        <v/>
      </c>
      <c r="C302" s="918">
        <f t="shared" si="91"/>
        <v>0</v>
      </c>
      <c r="D302" s="918">
        <f t="shared" si="91"/>
        <v>0</v>
      </c>
      <c r="E302" s="918">
        <f t="shared" si="92"/>
        <v>0</v>
      </c>
      <c r="F302" s="918">
        <f t="shared" si="93"/>
        <v>0</v>
      </c>
      <c r="G302" s="929">
        <f t="shared" si="94"/>
        <v>0</v>
      </c>
      <c r="H302" s="72"/>
      <c r="I302" s="72"/>
      <c r="J302" s="9"/>
      <c r="K302" s="9"/>
      <c r="L302" s="9"/>
      <c r="M302" s="9"/>
      <c r="N302" s="9"/>
      <c r="O302" s="9"/>
      <c r="P302" s="9"/>
      <c r="Q302" s="9"/>
      <c r="R302" s="9"/>
      <c r="AE302" s="827"/>
    </row>
    <row r="303" spans="1:31" ht="15.75" customHeight="1">
      <c r="A303" s="34">
        <f>A38</f>
        <v>5</v>
      </c>
      <c r="B303" s="917" t="str">
        <f t="shared" si="95"/>
        <v/>
      </c>
      <c r="C303" s="918">
        <f t="shared" si="91"/>
        <v>0</v>
      </c>
      <c r="D303" s="918">
        <f t="shared" si="91"/>
        <v>0</v>
      </c>
      <c r="E303" s="918">
        <f t="shared" si="92"/>
        <v>0</v>
      </c>
      <c r="F303" s="918">
        <f t="shared" si="93"/>
        <v>0</v>
      </c>
      <c r="G303" s="929">
        <f t="shared" si="94"/>
        <v>0</v>
      </c>
      <c r="H303" s="72"/>
      <c r="I303" s="72"/>
      <c r="J303" s="9"/>
      <c r="K303" s="9"/>
      <c r="L303" s="9"/>
      <c r="M303" s="9"/>
      <c r="N303" s="9"/>
      <c r="O303" s="9"/>
      <c r="P303" s="9"/>
      <c r="Q303" s="9"/>
      <c r="R303" s="9"/>
      <c r="AE303" s="827"/>
    </row>
    <row r="304" spans="1:31" ht="15.75" customHeight="1" thickBot="1">
      <c r="A304" s="34">
        <f>A39</f>
        <v>6</v>
      </c>
      <c r="B304" s="917" t="str">
        <f t="shared" si="95"/>
        <v/>
      </c>
      <c r="C304" s="918">
        <f t="shared" si="91"/>
        <v>0</v>
      </c>
      <c r="D304" s="918">
        <f t="shared" si="91"/>
        <v>0</v>
      </c>
      <c r="E304" s="918">
        <f t="shared" si="92"/>
        <v>0</v>
      </c>
      <c r="F304" s="918">
        <f t="shared" si="93"/>
        <v>0</v>
      </c>
      <c r="G304" s="979">
        <f t="shared" si="94"/>
        <v>0</v>
      </c>
      <c r="H304" s="72"/>
      <c r="I304" s="72"/>
      <c r="J304" s="9"/>
      <c r="K304" s="9"/>
      <c r="L304" s="9"/>
      <c r="M304" s="9"/>
      <c r="N304" s="9"/>
      <c r="O304" s="9"/>
      <c r="P304" s="9"/>
      <c r="Q304" s="9"/>
      <c r="R304" s="9"/>
      <c r="AE304" s="827"/>
    </row>
    <row r="305" spans="1:31" ht="15.75" customHeight="1" thickBot="1">
      <c r="A305" s="9"/>
      <c r="B305" s="9"/>
      <c r="C305" s="920">
        <f>SUM(C299:C304)</f>
        <v>0</v>
      </c>
      <c r="D305" s="921">
        <f>SUM(D299:D304)</f>
        <v>0</v>
      </c>
      <c r="E305" s="921">
        <f>SUM(E299:E304)</f>
        <v>0</v>
      </c>
      <c r="F305" s="922">
        <f>SUM(F299:F304)</f>
        <v>0</v>
      </c>
      <c r="G305" s="884"/>
      <c r="H305" s="72"/>
      <c r="I305" s="72"/>
      <c r="J305" s="9"/>
      <c r="K305" s="9"/>
      <c r="L305" s="9"/>
      <c r="M305" s="9"/>
      <c r="N305" s="9"/>
      <c r="O305" s="9"/>
      <c r="P305" s="9"/>
      <c r="Q305" s="9"/>
      <c r="R305" s="9"/>
      <c r="AE305" s="827"/>
    </row>
    <row r="306" spans="1:31" ht="15.75" customHeight="1">
      <c r="A306" s="9"/>
      <c r="B306" s="9"/>
      <c r="C306" s="88"/>
      <c r="D306" s="71"/>
      <c r="E306" s="71"/>
      <c r="F306" s="72"/>
      <c r="G306" s="72"/>
      <c r="H306" s="72"/>
      <c r="I306" s="72"/>
      <c r="J306" s="9"/>
      <c r="K306" s="9"/>
      <c r="L306" s="9"/>
      <c r="M306" s="9"/>
      <c r="N306" s="9"/>
      <c r="O306" s="9"/>
      <c r="P306" s="9"/>
      <c r="Q306" s="9"/>
      <c r="R306" s="9"/>
      <c r="AE306" s="827"/>
    </row>
    <row r="307" spans="1:31" ht="15.75" customHeight="1">
      <c r="B307" s="90" t="s">
        <v>145</v>
      </c>
      <c r="K307" s="448"/>
      <c r="L307" s="449"/>
      <c r="M307" s="450"/>
      <c r="N307" s="451"/>
      <c r="O307" s="451"/>
      <c r="P307" s="452"/>
      <c r="Q307" s="453"/>
      <c r="AE307" s="839"/>
    </row>
    <row r="308" spans="1:31" ht="15.75" customHeight="1">
      <c r="B308" s="90"/>
      <c r="K308" s="448"/>
      <c r="L308" s="449"/>
      <c r="M308" s="450"/>
      <c r="N308" s="451"/>
      <c r="O308" s="451"/>
      <c r="P308" s="452"/>
      <c r="Q308" s="453"/>
      <c r="AE308" s="839"/>
    </row>
    <row r="309" spans="1:31" ht="15" customHeight="1" thickBot="1">
      <c r="A309" s="9"/>
      <c r="B309" s="9"/>
      <c r="C309" s="71"/>
      <c r="D309" s="72"/>
      <c r="E309" s="72"/>
      <c r="F309" s="72"/>
      <c r="G309" s="9"/>
      <c r="H309" s="9"/>
      <c r="I309" s="9"/>
      <c r="J309" s="9"/>
      <c r="K309" s="448"/>
      <c r="L309" s="449"/>
      <c r="M309" s="450"/>
      <c r="N309" s="451"/>
      <c r="O309" s="451"/>
      <c r="P309" s="452"/>
      <c r="Q309" s="453"/>
      <c r="AE309" s="827"/>
    </row>
    <row r="310" spans="1:31" ht="18.75" thickBot="1">
      <c r="A310" s="67" t="s">
        <v>107</v>
      </c>
      <c r="B310" s="11"/>
      <c r="C310" s="52"/>
      <c r="D310" s="52"/>
      <c r="E310" s="52"/>
      <c r="F310" s="11"/>
      <c r="G310" s="11"/>
      <c r="H310" s="11"/>
      <c r="I310" s="12"/>
      <c r="J310" s="129"/>
      <c r="K310" s="448"/>
      <c r="L310" s="449"/>
      <c r="M310" s="450"/>
      <c r="N310" s="451"/>
      <c r="O310" s="451"/>
      <c r="P310" s="452"/>
      <c r="Q310" s="453"/>
      <c r="AE310" s="827"/>
    </row>
    <row r="311" spans="1:31" ht="16.5" thickBot="1">
      <c r="A311" s="53"/>
      <c r="B311" s="54"/>
      <c r="C311" s="55"/>
      <c r="D311" s="55"/>
      <c r="E311" s="55"/>
      <c r="F311" s="73"/>
      <c r="G311" s="73"/>
      <c r="H311" s="73"/>
      <c r="I311" s="74"/>
      <c r="J311" s="107"/>
      <c r="K311" s="448"/>
      <c r="L311" s="449"/>
      <c r="M311" s="450"/>
      <c r="N311" s="451"/>
      <c r="O311" s="451"/>
      <c r="P311" s="452"/>
      <c r="Q311" s="453"/>
    </row>
    <row r="312" spans="1:31" ht="56.25" customHeight="1">
      <c r="A312" s="1096" t="s">
        <v>18</v>
      </c>
      <c r="B312" s="1097"/>
      <c r="C312" s="1031" t="s">
        <v>50</v>
      </c>
      <c r="D312" s="1031" t="s">
        <v>51</v>
      </c>
      <c r="E312" s="1031" t="s">
        <v>31</v>
      </c>
      <c r="F312" s="1031" t="s">
        <v>32</v>
      </c>
      <c r="G312" s="1030" t="s">
        <v>33</v>
      </c>
      <c r="H312" s="1031" t="s">
        <v>53</v>
      </c>
      <c r="I312" s="1032" t="s">
        <v>610</v>
      </c>
      <c r="J312" s="1038" t="s">
        <v>505</v>
      </c>
      <c r="K312" s="450"/>
      <c r="L312" s="1047"/>
      <c r="M312" s="450"/>
      <c r="N312" s="520"/>
      <c r="O312" s="520"/>
      <c r="P312" s="520"/>
      <c r="Q312" s="453"/>
    </row>
    <row r="313" spans="1:31" ht="15.75" thickBot="1">
      <c r="A313" s="56"/>
      <c r="B313" s="57"/>
      <c r="C313" s="84" t="s">
        <v>21</v>
      </c>
      <c r="D313" s="84" t="s">
        <v>52</v>
      </c>
      <c r="E313" s="58" t="s">
        <v>28</v>
      </c>
      <c r="F313" s="58"/>
      <c r="G313" s="59"/>
      <c r="H313" s="58"/>
      <c r="I313" s="60"/>
      <c r="J313" s="310" t="s">
        <v>254</v>
      </c>
      <c r="K313" s="97"/>
      <c r="L313" s="1049"/>
      <c r="M313" s="97"/>
      <c r="N313" s="97"/>
      <c r="O313" s="97"/>
      <c r="P313" s="164"/>
      <c r="Q313" s="97"/>
    </row>
    <row r="314" spans="1:31">
      <c r="A314" s="34">
        <f>A$34</f>
        <v>1</v>
      </c>
      <c r="B314" s="923" t="str">
        <f t="shared" ref="B314:B319" si="96">B34</f>
        <v/>
      </c>
      <c r="C314" s="984">
        <f>IF(B34="",0,IF(C102="",(D34+E34+80)*2,IF(C102="Poor &gt;10 yrs",(D34+E34+80)*2,IF(C102="Fair 5 yrs -10 yrs",D34+E34+80,IF(C102="New &lt; 5 yrs",(D34+E34+80)/2,IF(C102="No New Fence",0,"Select Fence"))))))</f>
        <v>0</v>
      </c>
      <c r="D314" s="984">
        <f>IF(D34="",0,'Unit Costs'!F$81)</f>
        <v>0</v>
      </c>
      <c r="E314" s="971">
        <f t="shared" ref="E314:E319" si="97">IF(D34="",0,C314/D314)</f>
        <v>0</v>
      </c>
      <c r="F314" s="918">
        <f>'Unit Costs'!H$81*C314</f>
        <v>0</v>
      </c>
      <c r="G314" s="918">
        <f>'Unit Costs'!I$81*C314</f>
        <v>0</v>
      </c>
      <c r="H314" s="918">
        <f>'Unit Costs'!G$81*C314</f>
        <v>0</v>
      </c>
      <c r="I314" s="918">
        <f t="shared" ref="I314:I319" si="98">SUM(F314:H314)</f>
        <v>0</v>
      </c>
      <c r="J314" s="927">
        <f>IF(B314="",0,IF(C314=0,0,I314/C314))</f>
        <v>0</v>
      </c>
      <c r="K314" s="97"/>
      <c r="L314" s="1048"/>
      <c r="M314" s="97"/>
      <c r="N314" s="97"/>
      <c r="O314" s="97"/>
      <c r="P314" s="97"/>
      <c r="Q314" s="32"/>
    </row>
    <row r="315" spans="1:31">
      <c r="A315" s="34">
        <f>A$35</f>
        <v>2</v>
      </c>
      <c r="B315" s="923" t="str">
        <f t="shared" si="96"/>
        <v/>
      </c>
      <c r="C315" s="984">
        <f t="shared" ref="C315:C319" si="99">IF(B35="",0,IF(C103="",(D35+E35+80)*2,IF(C103="Poor &gt;10 yrs",(D35+E35+80)*2,IF(C103="Fair 5 yrs -10 yrs",D35+E35+80,IF(C103="New &lt; 5 yrs",(D35+E35+80)/2,IF(C103="No New Fence",0,"Select Fence"))))))</f>
        <v>0</v>
      </c>
      <c r="D315" s="984">
        <f>IF(D35="",0,'Unit Costs'!F$81)</f>
        <v>0</v>
      </c>
      <c r="E315" s="971">
        <f t="shared" si="97"/>
        <v>0</v>
      </c>
      <c r="F315" s="918">
        <f>'Unit Costs'!H$81*C315</f>
        <v>0</v>
      </c>
      <c r="G315" s="918">
        <f>'Unit Costs'!I$81*C315</f>
        <v>0</v>
      </c>
      <c r="H315" s="918">
        <f>'Unit Costs'!G$81*C315</f>
        <v>0</v>
      </c>
      <c r="I315" s="918">
        <f t="shared" si="98"/>
        <v>0</v>
      </c>
      <c r="J315" s="929">
        <f t="shared" ref="J315:J319" si="100">IF(B315="",0,IF(C315=0,0,I315/C315))</f>
        <v>0</v>
      </c>
      <c r="K315" s="97"/>
      <c r="L315" s="1049"/>
      <c r="M315" s="521"/>
      <c r="N315" s="522"/>
      <c r="O315" s="522"/>
      <c r="P315" s="522"/>
      <c r="Q315" s="523"/>
    </row>
    <row r="316" spans="1:31">
      <c r="A316" s="34">
        <f>A$36</f>
        <v>3</v>
      </c>
      <c r="B316" s="923" t="str">
        <f t="shared" si="96"/>
        <v/>
      </c>
      <c r="C316" s="984">
        <f t="shared" si="99"/>
        <v>0</v>
      </c>
      <c r="D316" s="984">
        <f>IF(D36="",0,'Unit Costs'!F$81)</f>
        <v>0</v>
      </c>
      <c r="E316" s="971">
        <f t="shared" si="97"/>
        <v>0</v>
      </c>
      <c r="F316" s="918">
        <f>'Unit Costs'!H$81*C316</f>
        <v>0</v>
      </c>
      <c r="G316" s="918">
        <f>'Unit Costs'!I$81*C316</f>
        <v>0</v>
      </c>
      <c r="H316" s="918">
        <f>'Unit Costs'!G$81*C316</f>
        <v>0</v>
      </c>
      <c r="I316" s="918">
        <f t="shared" si="98"/>
        <v>0</v>
      </c>
      <c r="J316" s="929">
        <f t="shared" si="100"/>
        <v>0</v>
      </c>
      <c r="K316" s="97"/>
      <c r="L316" s="1047"/>
      <c r="M316" s="525"/>
      <c r="N316" s="526"/>
      <c r="O316" s="526"/>
      <c r="P316" s="527"/>
      <c r="Q316" s="528"/>
    </row>
    <row r="317" spans="1:31">
      <c r="A317" s="34">
        <f>A37</f>
        <v>4</v>
      </c>
      <c r="B317" s="923" t="str">
        <f t="shared" si="96"/>
        <v/>
      </c>
      <c r="C317" s="984">
        <f t="shared" si="99"/>
        <v>0</v>
      </c>
      <c r="D317" s="984">
        <f>IF(D37="",0,'Unit Costs'!F$81)</f>
        <v>0</v>
      </c>
      <c r="E317" s="971">
        <f t="shared" si="97"/>
        <v>0</v>
      </c>
      <c r="F317" s="918">
        <f>'Unit Costs'!H$81*C317</f>
        <v>0</v>
      </c>
      <c r="G317" s="918">
        <f>'Unit Costs'!I$81*C317</f>
        <v>0</v>
      </c>
      <c r="H317" s="918">
        <f>'Unit Costs'!G$81*C317</f>
        <v>0</v>
      </c>
      <c r="I317" s="918">
        <f t="shared" si="98"/>
        <v>0</v>
      </c>
      <c r="J317" s="929">
        <f t="shared" si="100"/>
        <v>0</v>
      </c>
      <c r="K317" s="97"/>
      <c r="L317" s="1047"/>
      <c r="M317" s="525"/>
      <c r="N317" s="526"/>
      <c r="O317" s="526"/>
      <c r="P317" s="527"/>
      <c r="Q317" s="528"/>
    </row>
    <row r="318" spans="1:31">
      <c r="A318" s="34">
        <f>A38</f>
        <v>5</v>
      </c>
      <c r="B318" s="923" t="str">
        <f t="shared" si="96"/>
        <v/>
      </c>
      <c r="C318" s="984">
        <f t="shared" si="99"/>
        <v>0</v>
      </c>
      <c r="D318" s="984">
        <f>IF(D38="",0,'Unit Costs'!F$81)</f>
        <v>0</v>
      </c>
      <c r="E318" s="971">
        <f t="shared" si="97"/>
        <v>0</v>
      </c>
      <c r="F318" s="918">
        <f>'Unit Costs'!H$81*C318</f>
        <v>0</v>
      </c>
      <c r="G318" s="918">
        <f>'Unit Costs'!I$81*C318</f>
        <v>0</v>
      </c>
      <c r="H318" s="918">
        <f>'Unit Costs'!G$81*C318</f>
        <v>0</v>
      </c>
      <c r="I318" s="918">
        <f t="shared" si="98"/>
        <v>0</v>
      </c>
      <c r="J318" s="929">
        <f t="shared" si="100"/>
        <v>0</v>
      </c>
      <c r="K318" s="97"/>
      <c r="L318" s="524"/>
      <c r="M318" s="525"/>
      <c r="N318" s="526"/>
      <c r="O318" s="526"/>
      <c r="P318" s="527"/>
      <c r="Q318" s="528"/>
    </row>
    <row r="319" spans="1:31" ht="15.75" thickBot="1">
      <c r="A319" s="34">
        <f>A39</f>
        <v>6</v>
      </c>
      <c r="B319" s="923" t="str">
        <f t="shared" si="96"/>
        <v/>
      </c>
      <c r="C319" s="984">
        <f t="shared" si="99"/>
        <v>0</v>
      </c>
      <c r="D319" s="984">
        <f>IF(D39="",0,'Unit Costs'!F$81)</f>
        <v>0</v>
      </c>
      <c r="E319" s="971">
        <f t="shared" si="97"/>
        <v>0</v>
      </c>
      <c r="F319" s="918">
        <f>'Unit Costs'!H$81*C319</f>
        <v>0</v>
      </c>
      <c r="G319" s="918">
        <f>'Unit Costs'!I$81*C319</f>
        <v>0</v>
      </c>
      <c r="H319" s="918">
        <f>'Unit Costs'!G$81*C319</f>
        <v>0</v>
      </c>
      <c r="I319" s="918">
        <f t="shared" si="98"/>
        <v>0</v>
      </c>
      <c r="J319" s="979">
        <f t="shared" si="100"/>
        <v>0</v>
      </c>
      <c r="K319" s="97"/>
      <c r="L319" s="524"/>
      <c r="M319" s="525"/>
      <c r="N319" s="526"/>
      <c r="O319" s="526"/>
      <c r="P319" s="527"/>
      <c r="Q319" s="528"/>
    </row>
    <row r="320" spans="1:31" ht="15.75" thickBot="1">
      <c r="A320" s="48"/>
      <c r="B320" s="48"/>
      <c r="C320" s="974">
        <f>SUM(C314:C319)</f>
        <v>0</v>
      </c>
      <c r="D320" s="85"/>
      <c r="E320" s="932">
        <f>SUM(E314:E319)</f>
        <v>0</v>
      </c>
      <c r="F320" s="920">
        <f>SUM(F314:F319)</f>
        <v>0</v>
      </c>
      <c r="G320" s="920">
        <f>SUM(G314:G319)</f>
        <v>0</v>
      </c>
      <c r="H320" s="920">
        <f>SUM(H314:H319)</f>
        <v>0</v>
      </c>
      <c r="I320" s="920">
        <f>SUM(I314:I319)</f>
        <v>0</v>
      </c>
      <c r="J320" s="884"/>
      <c r="K320" s="97"/>
      <c r="L320" s="524"/>
      <c r="M320" s="525"/>
      <c r="N320" s="526"/>
      <c r="O320" s="526"/>
      <c r="P320" s="527"/>
      <c r="Q320" s="528"/>
    </row>
    <row r="321" spans="1:17" s="297" customFormat="1">
      <c r="A321" s="9"/>
      <c r="B321" s="9"/>
      <c r="C321" s="88"/>
      <c r="D321" s="71"/>
      <c r="E321" s="71"/>
      <c r="F321" s="72"/>
      <c r="G321" s="72"/>
      <c r="H321" s="72"/>
      <c r="I321" s="72"/>
      <c r="K321" s="319"/>
      <c r="L321" s="529"/>
      <c r="M321" s="530"/>
      <c r="N321" s="531"/>
      <c r="O321" s="531"/>
      <c r="P321" s="531"/>
      <c r="Q321" s="528"/>
    </row>
    <row r="322" spans="1:17" s="297" customFormat="1">
      <c r="A322" s="9"/>
      <c r="B322" s="9" t="s">
        <v>640</v>
      </c>
      <c r="C322" s="88"/>
      <c r="D322" s="71"/>
      <c r="E322" s="71"/>
      <c r="F322" s="72"/>
      <c r="G322" s="72"/>
      <c r="H322" s="72"/>
      <c r="I322" s="72"/>
      <c r="K322" s="319"/>
      <c r="L322" s="529"/>
      <c r="M322" s="524"/>
      <c r="N322" s="532"/>
      <c r="O322" s="532"/>
      <c r="P322" s="533"/>
      <c r="Q322" s="528"/>
    </row>
    <row r="323" spans="1:17" s="297" customFormat="1">
      <c r="A323" s="9"/>
      <c r="B323" s="9" t="s">
        <v>636</v>
      </c>
      <c r="C323" s="88"/>
      <c r="D323" s="71"/>
      <c r="E323" s="71"/>
      <c r="F323" s="72"/>
      <c r="G323" s="72"/>
      <c r="H323" s="72"/>
      <c r="I323" s="72"/>
      <c r="K323" s="319"/>
      <c r="L323" s="529"/>
      <c r="M323" s="524"/>
      <c r="N323" s="532"/>
      <c r="O323" s="532"/>
      <c r="P323" s="533"/>
      <c r="Q323" s="528"/>
    </row>
    <row r="324" spans="1:17" s="297" customFormat="1">
      <c r="A324" s="9"/>
      <c r="B324" s="9" t="s">
        <v>639</v>
      </c>
      <c r="C324" s="88"/>
      <c r="D324" s="71"/>
      <c r="E324" s="71"/>
      <c r="F324" s="72"/>
      <c r="G324" s="72"/>
      <c r="H324" s="72"/>
      <c r="I324" s="72"/>
      <c r="K324" s="319"/>
      <c r="L324" s="529"/>
      <c r="M324" s="524"/>
      <c r="N324" s="532"/>
      <c r="O324" s="532"/>
      <c r="P324" s="533"/>
      <c r="Q324" s="528"/>
    </row>
    <row r="325" spans="1:17" s="297" customFormat="1">
      <c r="A325" s="9"/>
      <c r="B325" s="9" t="s">
        <v>638</v>
      </c>
      <c r="C325" s="88"/>
      <c r="D325" s="71"/>
      <c r="E325" s="71"/>
      <c r="F325" s="72"/>
      <c r="G325" s="72"/>
      <c r="H325" s="72"/>
      <c r="I325" s="72"/>
      <c r="K325" s="319"/>
      <c r="L325" s="529"/>
      <c r="M325" s="524"/>
      <c r="N325" s="532"/>
      <c r="O325" s="532"/>
      <c r="P325" s="533"/>
      <c r="Q325" s="528"/>
    </row>
    <row r="326" spans="1:17" s="297" customFormat="1" ht="15.75" thickBot="1">
      <c r="A326" s="9"/>
      <c r="B326" s="9"/>
      <c r="C326" s="88"/>
      <c r="D326" s="71"/>
      <c r="E326" s="71"/>
      <c r="F326" s="72"/>
      <c r="G326" s="72"/>
      <c r="H326" s="72"/>
      <c r="I326" s="72"/>
    </row>
    <row r="327" spans="1:17" s="297" customFormat="1" ht="18.75" thickBot="1">
      <c r="A327" s="300" t="s">
        <v>337</v>
      </c>
      <c r="B327" s="11"/>
      <c r="C327" s="11"/>
      <c r="D327" s="11"/>
      <c r="E327" s="11"/>
      <c r="F327" s="11"/>
      <c r="G327" s="11"/>
      <c r="H327" s="11"/>
      <c r="I327" s="11"/>
      <c r="J327" s="12"/>
      <c r="K327" s="128"/>
      <c r="L327" s="128"/>
      <c r="M327" s="128"/>
      <c r="N327" s="128"/>
      <c r="O327" s="129"/>
      <c r="P327" s="129"/>
    </row>
    <row r="328" spans="1:17" s="297" customFormat="1" ht="16.5" thickBot="1">
      <c r="A328" s="53"/>
      <c r="B328" s="54"/>
      <c r="C328" s="302"/>
      <c r="D328" s="304"/>
      <c r="E328" s="304" t="s">
        <v>506</v>
      </c>
      <c r="F328" s="304"/>
      <c r="G328" s="304"/>
      <c r="H328" s="304"/>
      <c r="I328" s="304"/>
      <c r="J328" s="303"/>
      <c r="K328" s="105" t="s">
        <v>6</v>
      </c>
      <c r="L328" s="105"/>
      <c r="M328" s="105"/>
      <c r="N328" s="105"/>
      <c r="O328" s="107"/>
      <c r="P328" s="107"/>
    </row>
    <row r="329" spans="1:17" s="297" customFormat="1" ht="42.75" customHeight="1">
      <c r="A329" s="1096" t="s">
        <v>18</v>
      </c>
      <c r="B329" s="1097"/>
      <c r="C329" s="1030" t="s">
        <v>57</v>
      </c>
      <c r="D329" s="1030" t="s">
        <v>611</v>
      </c>
      <c r="E329" s="1030" t="s">
        <v>38</v>
      </c>
      <c r="F329" s="1030" t="s">
        <v>37</v>
      </c>
      <c r="G329" s="1030" t="s">
        <v>39</v>
      </c>
      <c r="H329" s="1031" t="s">
        <v>32</v>
      </c>
      <c r="I329" s="1030" t="s">
        <v>33</v>
      </c>
      <c r="J329" s="1032" t="s">
        <v>242</v>
      </c>
      <c r="K329" s="1036" t="s">
        <v>237</v>
      </c>
      <c r="L329" s="1040" t="s">
        <v>238</v>
      </c>
      <c r="M329" s="1037" t="s">
        <v>239</v>
      </c>
      <c r="N329" s="1037" t="s">
        <v>612</v>
      </c>
      <c r="O329" s="1038" t="s">
        <v>240</v>
      </c>
      <c r="P329" s="1038" t="s">
        <v>505</v>
      </c>
    </row>
    <row r="330" spans="1:17" s="297" customFormat="1" ht="15.75" thickBot="1">
      <c r="A330" s="56"/>
      <c r="B330" s="57"/>
      <c r="C330" s="62" t="s">
        <v>25</v>
      </c>
      <c r="D330" s="62"/>
      <c r="E330" s="62"/>
      <c r="F330" s="62" t="s">
        <v>41</v>
      </c>
      <c r="G330" s="62"/>
      <c r="H330" s="33"/>
      <c r="I330" s="63"/>
      <c r="J330" s="64"/>
      <c r="K330" s="114" t="s">
        <v>23</v>
      </c>
      <c r="L330" s="308" t="s">
        <v>128</v>
      </c>
      <c r="M330" s="309" t="s">
        <v>128</v>
      </c>
      <c r="N330" s="309" t="s">
        <v>128</v>
      </c>
      <c r="O330" s="310" t="s">
        <v>128</v>
      </c>
      <c r="P330" s="310" t="s">
        <v>247</v>
      </c>
    </row>
    <row r="331" spans="1:17" s="297" customFormat="1">
      <c r="A331" s="34">
        <f>A$34</f>
        <v>1</v>
      </c>
      <c r="B331" s="558" t="str">
        <f t="shared" ref="B331:B336" si="101">$B34</f>
        <v/>
      </c>
      <c r="C331" s="977">
        <f t="shared" ref="C331:C336" si="102">C80*D80*43560/12/27</f>
        <v>0</v>
      </c>
      <c r="D331" s="977" t="str">
        <f t="shared" ref="D331:D336" si="103">IF(D34="","",H80)</f>
        <v/>
      </c>
      <c r="E331" s="977">
        <f t="shared" ref="E331:E336" si="104">IF(B34="",0,IF(I80=0,ROUNDUP((N567-L567)/L567,0),I80))</f>
        <v>0</v>
      </c>
      <c r="F331" s="977">
        <f t="shared" ref="F331:F336" si="105">IF(B34="",0,ROUND(0.83*E331*((IF(D331="769D 988G D7R",26.65,IF(D331="777D 992G D7R",66.8,"Select Fleet"))*60)/N567),0))</f>
        <v>0</v>
      </c>
      <c r="G331" s="977">
        <f t="shared" ref="G331:G336" si="106">IF(B34="",0,ROUND(IF(B34="","",C331/F331),0))</f>
        <v>0</v>
      </c>
      <c r="H331" s="918" t="str">
        <f>IF(D34="","",G331*IF(H80=D$662,'Unit Costs'!B$30+'Unit Costs'!B$35+'Unit Costs'!B$39,IF(H80=D$663,'Unit Costs'!B$29+'Unit Costs'!B$35+'Unit Costs'!B$38,"Select Fleet")))</f>
        <v/>
      </c>
      <c r="I331" s="918" t="str">
        <f>IF(B34="","",G331*IF(H80=B$660,('Unit Costs'!C$30+'Unit Costs'!C$39+'Unit Costs'!C$35),IF(H80=B$661,('Unit Costs'!C$29+'Unit Costs'!C$38+'Unit Costs'!C$35),0)))</f>
        <v/>
      </c>
      <c r="J331" s="918">
        <f t="shared" ref="J331:J336" si="107">SUM(H331:I331)</f>
        <v>0</v>
      </c>
      <c r="K331" s="985">
        <f t="shared" ref="K331:K336" si="108">C80</f>
        <v>0</v>
      </c>
      <c r="L331" s="918">
        <f>IF(B34="",0,IF(K80="Yes",(((J80*(C80*43560/J80)/IF(O80=H$660,9.75,IF(O80=H$661,11.54,IF(O80=H$662,13,IF(O80=H$663,9.75,"Select Fleet")))))/(IF(O80=H$660,5280,IF(O80=H$661,5280,IF(O80=H$662,5280,IF(O80=H$663,7920,"Select Fleet"))))))+((IF(O80=H$660,0.25,IF(O80=H$661,0.25,IF(O80=H$662,0.25,IF(O80=H$663,0.5,"Select Fleet")))))*((C80*43560/J80)/IF(O80=H$660,9.75,IF(O80=H$661,11.54,IF(O80=H$662,13,IF(O80=H$663,9.75,"Select Fleet")))))/60))*IF(O80=H$660,'Unit Costs'!B$35,IF(O80=H$661,'Unit Costs'!B$34,IF(O80=H$662,'Unit Costs'!B$33,IF(O80=H$663,'Unit Costs'!B$52,"Select Fleet")))),0)+'Unit Costs'!H$83*C80)</f>
        <v>0</v>
      </c>
      <c r="M331" s="918">
        <f>IF(B34="",0,IF(K80="Yes",(((J80*(C80*43560/J80)/IF(O80=H$660,9.75,IF(O80=H$661,11.54,IF(O80=H$662,13,IF(O80=H$663,9.75,"Select Fleet")))))/(IF(O80=H$660,5280,IF(O80=H$661,5280,IF(O80=H$662,5280,IF(O80=H$663,7920,"Select Fleet"))))))+((IF(O80=H$660,0.25,IF(O80=H$661,0.25,IF(O80=H$662,0.25,IF(O80=H$663,0.5,"Select Fleet")))))*((C80*43560/J80)/IF(O80=H$660,9.75,IF(O80=H$661,11.54,IF(O80=H$662,13,IF(O80=H$663,9.75,"Select Fleet")))))/60))*IF(O80=H$660,'Unit Costs'!C$35,IF(O80=H$661,'Unit Costs'!C$34,IF(O80=H$662,'Unit Costs'!C$33,IF(O80=H$663,'Unit Costs'!C$52,"Select Fleet")))),0)+'Unit Costs'!I$83*C80)</f>
        <v>0</v>
      </c>
      <c r="N331" s="918">
        <f>IF(O80="",0,K331*(IF(L80=L$644,'Unit Costs'!D$89,IF(L80=L$645,'Unit Costs'!D$90,IF(L80=L$646,'Unit Costs'!D$91,IF(L80=L$647,'Unit Costs'!D$92,IF(L80=L$648,'Unit Costs'!D$93,IF(L80=L$649,'Unit Costs'!D$94,IF(L80=L$650,'Unit Costs'!D$95,IF(L80=L$651,'Unit Costs'!D$96))))))))+IF(M80=J$652,'Unit Costs'!D$100,IF(M80=J$653,'Unit Costs'!D$101,0))+IF(N80=K$652,'Unit Costs'!D$102,IF(N80=K$653,'Unit Costs'!D$103,0))))</f>
        <v>0</v>
      </c>
      <c r="O331" s="918">
        <f t="shared" ref="O331:O336" si="109">SUM(L331:N331)</f>
        <v>0</v>
      </c>
      <c r="P331" s="919">
        <f>IF(K331=0,0,C331/(J331+O331))</f>
        <v>0</v>
      </c>
    </row>
    <row r="332" spans="1:17" s="297" customFormat="1">
      <c r="A332" s="34">
        <f>A$35</f>
        <v>2</v>
      </c>
      <c r="B332" s="558" t="str">
        <f t="shared" si="101"/>
        <v/>
      </c>
      <c r="C332" s="977">
        <f t="shared" si="102"/>
        <v>0</v>
      </c>
      <c r="D332" s="977" t="str">
        <f t="shared" si="103"/>
        <v/>
      </c>
      <c r="E332" s="977">
        <f t="shared" si="104"/>
        <v>0</v>
      </c>
      <c r="F332" s="977">
        <f t="shared" si="105"/>
        <v>0</v>
      </c>
      <c r="G332" s="977">
        <f t="shared" si="106"/>
        <v>0</v>
      </c>
      <c r="H332" s="918" t="str">
        <f>IF(D35="","",G332*IF(H81=D$662,'Unit Costs'!B$30+'Unit Costs'!B$35+'Unit Costs'!B$39,IF(H81=D$663,'Unit Costs'!B$29+'Unit Costs'!B$35+'Unit Costs'!B$38,"Select Fleet")))</f>
        <v/>
      </c>
      <c r="I332" s="918" t="str">
        <f>IF(B35="","",G332*IF(H81=B$660,('Unit Costs'!C$30+'Unit Costs'!C$39+'Unit Costs'!C$35),IF(H81=B$661,('Unit Costs'!C$29+'Unit Costs'!C$38+'Unit Costs'!C$35),0)))</f>
        <v/>
      </c>
      <c r="J332" s="918">
        <f t="shared" si="107"/>
        <v>0</v>
      </c>
      <c r="K332" s="985">
        <f t="shared" si="108"/>
        <v>0</v>
      </c>
      <c r="L332" s="918">
        <f>IF(B35="",0,IF(K81="Yes",(((J81*(C81*43560/J81)/IF(O81=H$660,9.75,IF(O81=H$661,11.54,IF(O81=H$662,13,IF(O81=H$663,9.75,"Select Fleet")))))/(IF(O81=H$660,5280,IF(O81=H$661,5280,IF(O81=H$662,5280,IF(O81=H$663,7920,"Select Fleet"))))))+((IF(O81=H$660,0.25,IF(O81=H$661,0.25,IF(O81=H$662,0.25,IF(O81=H$663,0.5,"Select Fleet")))))*((C81*43560/J81)/IF(O81=H$660,9.75,IF(O81=H$661,11.54,IF(O81=H$662,13,IF(O81=H$663,9.75,"Select Fleet")))))/60))*IF(O81=H$660,'Unit Costs'!B$35,IF(O81=H$661,'Unit Costs'!B$34,IF(O81=H$662,'Unit Costs'!B$33,IF(O81=H$663,'Unit Costs'!B$52,"Select Fleet")))),0)+'Unit Costs'!H$83*C81)</f>
        <v>0</v>
      </c>
      <c r="M332" s="918">
        <f>IF(B35="",0,IF(K81="Yes",(((J81*(C81*43560/J81)/IF(O81=H$660,9.75,IF(O81=H$661,11.54,IF(O81=H$662,13,IF(O81=H$663,9.75,"Select Fleet")))))/(IF(O81=H$660,5280,IF(O81=H$661,5280,IF(O81=H$662,5280,IF(O81=H$663,7920,"Select Fleet"))))))+((IF(O81=H$660,0.25,IF(O81=H$661,0.25,IF(O81=H$662,0.25,IF(O81=H$663,0.5,"Select Fleet")))))*((C81*43560/J81)/IF(O81=H$660,9.75,IF(O81=H$661,11.54,IF(O81=H$662,13,IF(O81=H$663,9.75,"Select Fleet")))))/60))*IF(O81=H$660,'Unit Costs'!C$35,IF(O81=H$661,'Unit Costs'!C$34,IF(O81=H$662,'Unit Costs'!C$33,IF(O81=H$663,'Unit Costs'!C$52,"Select Fleet")))),0)+'Unit Costs'!I$83*C81)</f>
        <v>0</v>
      </c>
      <c r="N332" s="918">
        <f>IF(O81="",0,K332*(IF(L81=L$644,'Unit Costs'!D$89,IF(L81=L$645,'Unit Costs'!D$90,IF(L81=L$646,'Unit Costs'!D$91,IF(L81=L$647,'Unit Costs'!D$92,IF(L81=L$648,'Unit Costs'!D$93,IF(L81=L$649,'Unit Costs'!D$94,IF(L81=L$650,'Unit Costs'!D$95,IF(L81=L$651,'Unit Costs'!D$96))))))))+IF(M81=J$652,'Unit Costs'!D$100,IF(M81=J$653,'Unit Costs'!D$101,0))+IF(N81=K$652,'Unit Costs'!D$102,IF(N81=K$653,'Unit Costs'!D$103,0))))</f>
        <v>0</v>
      </c>
      <c r="O332" s="918">
        <f t="shared" si="109"/>
        <v>0</v>
      </c>
      <c r="P332" s="919">
        <f>IF(K332=0,0,C332/(J332+O332))</f>
        <v>0</v>
      </c>
    </row>
    <row r="333" spans="1:17" s="297" customFormat="1">
      <c r="A333" s="34">
        <f>A$36</f>
        <v>3</v>
      </c>
      <c r="B333" s="558" t="str">
        <f t="shared" si="101"/>
        <v/>
      </c>
      <c r="C333" s="977">
        <f t="shared" si="102"/>
        <v>0</v>
      </c>
      <c r="D333" s="977" t="str">
        <f t="shared" si="103"/>
        <v/>
      </c>
      <c r="E333" s="977">
        <f t="shared" si="104"/>
        <v>0</v>
      </c>
      <c r="F333" s="977">
        <f t="shared" si="105"/>
        <v>0</v>
      </c>
      <c r="G333" s="977">
        <f t="shared" si="106"/>
        <v>0</v>
      </c>
      <c r="H333" s="918" t="str">
        <f>IF(D36="","",G333*IF(H82=D$662,'Unit Costs'!B$30+'Unit Costs'!B$35+'Unit Costs'!B$39,IF(H82=D$663,'Unit Costs'!B$29+'Unit Costs'!B$35+'Unit Costs'!B$38,"Select Fleet")))</f>
        <v/>
      </c>
      <c r="I333" s="918" t="str">
        <f>IF(B36="","",G333*IF(H82=B$660,('Unit Costs'!C$30+'Unit Costs'!C$39+'Unit Costs'!C$35),IF(H82=B$661,('Unit Costs'!C$29+'Unit Costs'!C$38+'Unit Costs'!C$35),0)))</f>
        <v/>
      </c>
      <c r="J333" s="918">
        <f t="shared" si="107"/>
        <v>0</v>
      </c>
      <c r="K333" s="985">
        <f t="shared" si="108"/>
        <v>0</v>
      </c>
      <c r="L333" s="918">
        <f>IF(B36="",0,IF(K82="Yes",(((J82*(C82*43560/J82)/IF(O82=H$660,9.75,IF(O82=H$661,11.54,IF(O82=H$662,13,IF(O82=H$663,9.75,"Select Fleet")))))/(IF(O82=H$660,5280,IF(O82=H$661,5280,IF(O82=H$662,5280,IF(O82=H$663,7920,"Select Fleet"))))))+((IF(O82=H$660,0.25,IF(O82=H$661,0.25,IF(O82=H$662,0.25,IF(O82=H$663,0.5,"Select Fleet")))))*((C82*43560/J82)/IF(O82=H$660,9.75,IF(O82=H$661,11.54,IF(O82=H$662,13,IF(O82=H$663,9.75,"Select Fleet")))))/60))*IF(O82=H$660,'Unit Costs'!B$35,IF(O82=H$661,'Unit Costs'!B$34,IF(O82=H$662,'Unit Costs'!B$33,IF(O82=H$663,'Unit Costs'!B$52,"Select Fleet")))),0)+'Unit Costs'!H$83*C82)</f>
        <v>0</v>
      </c>
      <c r="M333" s="918">
        <f>IF(B36="",0,IF(K82="Yes",(((J82*(C82*43560/J82)/IF(O82=H$660,9.75,IF(O82=H$661,11.54,IF(O82=H$662,13,IF(O82=H$663,9.75,"Select Fleet")))))/(IF(O82=H$660,5280,IF(O82=H$661,5280,IF(O82=H$662,5280,IF(O82=H$663,7920,"Select Fleet"))))))+((IF(O82=H$660,0.25,IF(O82=H$661,0.25,IF(O82=H$662,0.25,IF(O82=H$663,0.5,"Select Fleet")))))*((C82*43560/J82)/IF(O82=H$660,9.75,IF(O82=H$661,11.54,IF(O82=H$662,13,IF(O82=H$663,9.75,"Select Fleet")))))/60))*IF(O82=H$660,'Unit Costs'!C$35,IF(O82=H$661,'Unit Costs'!C$34,IF(O82=H$662,'Unit Costs'!C$33,IF(O82=H$663,'Unit Costs'!C$52,"Select Fleet")))),0)+'Unit Costs'!I$83*C82)</f>
        <v>0</v>
      </c>
      <c r="N333" s="918">
        <f>IF(O82="",0,K333*(IF(L82=L$644,'Unit Costs'!D$89,IF(L82=L$645,'Unit Costs'!D$90,IF(L82=L$646,'Unit Costs'!D$91,IF(L82=L$647,'Unit Costs'!D$92,IF(L82=L$648,'Unit Costs'!D$93,IF(L82=L$649,'Unit Costs'!D$94,IF(L82=L$650,'Unit Costs'!D$95,IF(L82=L$651,'Unit Costs'!D$96))))))))+IF(M82=J$652,'Unit Costs'!D$100,IF(M82=J$653,'Unit Costs'!D$101,0))+IF(N82=K$652,'Unit Costs'!D$102,IF(N82=K$653,'Unit Costs'!D$103,0))))</f>
        <v>0</v>
      </c>
      <c r="O333" s="918">
        <f t="shared" si="109"/>
        <v>0</v>
      </c>
      <c r="P333" s="919">
        <f t="shared" ref="P333:P336" si="110">IF(K333=0,0,C333/(J333+O333))</f>
        <v>0</v>
      </c>
    </row>
    <row r="334" spans="1:17" s="297" customFormat="1">
      <c r="A334" s="34">
        <f>A37</f>
        <v>4</v>
      </c>
      <c r="B334" s="558" t="str">
        <f t="shared" si="101"/>
        <v/>
      </c>
      <c r="C334" s="977">
        <f t="shared" si="102"/>
        <v>0</v>
      </c>
      <c r="D334" s="977" t="str">
        <f t="shared" si="103"/>
        <v/>
      </c>
      <c r="E334" s="977">
        <f t="shared" si="104"/>
        <v>0</v>
      </c>
      <c r="F334" s="977">
        <f t="shared" si="105"/>
        <v>0</v>
      </c>
      <c r="G334" s="977">
        <f t="shared" si="106"/>
        <v>0</v>
      </c>
      <c r="H334" s="918" t="str">
        <f>IF(D37="","",G334*IF(H83=D$662,'Unit Costs'!B$30+'Unit Costs'!B$35+'Unit Costs'!B$39,IF(H83=D$663,'Unit Costs'!B$29+'Unit Costs'!B$35+'Unit Costs'!B$38,"Select Fleet")))</f>
        <v/>
      </c>
      <c r="I334" s="918" t="str">
        <f>IF(B37="","",G334*IF(H83=B$660,('Unit Costs'!C$30+'Unit Costs'!C$39+'Unit Costs'!C$35),IF(H83=B$661,('Unit Costs'!C$29+'Unit Costs'!C$38+'Unit Costs'!C$35),0)))</f>
        <v/>
      </c>
      <c r="J334" s="918">
        <f t="shared" si="107"/>
        <v>0</v>
      </c>
      <c r="K334" s="985">
        <f t="shared" si="108"/>
        <v>0</v>
      </c>
      <c r="L334" s="918">
        <f>IF(B37="",0,IF(K83="Yes",(((J83*(C83*43560/J83)/IF(O83=H$660,9.75,IF(O83=H$661,11.54,IF(O83=H$662,13,IF(O83=H$663,9.75,"Select Fleet")))))/(IF(O83=H$660,5280,IF(O83=H$661,5280,IF(O83=H$662,5280,IF(O83=H$663,7920,"Select Fleet"))))))+((IF(O83=H$660,0.25,IF(O83=H$661,0.25,IF(O83=H$662,0.25,IF(O83=H$663,0.5,"Select Fleet")))))*((C83*43560/J83)/IF(O83=H$660,9.75,IF(O83=H$661,11.54,IF(O83=H$662,13,IF(O83=H$663,9.75,"Select Fleet")))))/60))*IF(O83=H$660,'Unit Costs'!B$35,IF(O83=H$661,'Unit Costs'!B$34,IF(O83=H$662,'Unit Costs'!B$33,IF(O83=H$663,'Unit Costs'!B$52,"Select Fleet")))),0)+'Unit Costs'!H$83*C83)</f>
        <v>0</v>
      </c>
      <c r="M334" s="918">
        <f>IF(B37="",0,IF(K83="Yes",(((J83*(C83*43560/J83)/IF(O83=H$660,9.75,IF(O83=H$661,11.54,IF(O83=H$662,13,IF(O83=H$663,9.75,"Select Fleet")))))/(IF(O83=H$660,5280,IF(O83=H$661,5280,IF(O83=H$662,5280,IF(O83=H$663,7920,"Select Fleet"))))))+((IF(O83=H$660,0.25,IF(O83=H$661,0.25,IF(O83=H$662,0.25,IF(O83=H$663,0.5,"Select Fleet")))))*((C83*43560/J83)/IF(O83=H$660,9.75,IF(O83=H$661,11.54,IF(O83=H$662,13,IF(O83=H$663,9.75,"Select Fleet")))))/60))*IF(O83=H$660,'Unit Costs'!C$35,IF(O83=H$661,'Unit Costs'!C$34,IF(O83=H$662,'Unit Costs'!C$33,IF(O83=H$663,'Unit Costs'!C$52,"Select Fleet")))),0)+'Unit Costs'!I$83*C83)</f>
        <v>0</v>
      </c>
      <c r="N334" s="918">
        <f>IF(O83="",0,K334*(IF(L83=L$644,'Unit Costs'!D$89,IF(L83=L$645,'Unit Costs'!D$90,IF(L83=L$646,'Unit Costs'!D$91,IF(L83=L$647,'Unit Costs'!D$92,IF(L83=L$648,'Unit Costs'!D$93,IF(L83=L$649,'Unit Costs'!D$94,IF(L83=L$650,'Unit Costs'!D$95,IF(L83=L$651,'Unit Costs'!D$96))))))))+IF(M83=J$652,'Unit Costs'!D$100,IF(M83=J$653,'Unit Costs'!D$101,0))+IF(N83=K$652,'Unit Costs'!D$102,IF(N83=K$653,'Unit Costs'!D$103,0))))</f>
        <v>0</v>
      </c>
      <c r="O334" s="918">
        <f t="shared" si="109"/>
        <v>0</v>
      </c>
      <c r="P334" s="919">
        <f t="shared" si="110"/>
        <v>0</v>
      </c>
    </row>
    <row r="335" spans="1:17" s="297" customFormat="1">
      <c r="A335" s="34">
        <f>A38</f>
        <v>5</v>
      </c>
      <c r="B335" s="558" t="str">
        <f t="shared" si="101"/>
        <v/>
      </c>
      <c r="C335" s="977">
        <f t="shared" si="102"/>
        <v>0</v>
      </c>
      <c r="D335" s="977" t="str">
        <f t="shared" si="103"/>
        <v/>
      </c>
      <c r="E335" s="977">
        <f t="shared" si="104"/>
        <v>0</v>
      </c>
      <c r="F335" s="977">
        <f t="shared" si="105"/>
        <v>0</v>
      </c>
      <c r="G335" s="977">
        <f t="shared" si="106"/>
        <v>0</v>
      </c>
      <c r="H335" s="918" t="str">
        <f>IF(D38="","",G335*IF(H84=D$662,'Unit Costs'!B$30+'Unit Costs'!B$35+'Unit Costs'!B$39,IF(H84=D$663,'Unit Costs'!B$29+'Unit Costs'!B$35+'Unit Costs'!B$38,"Select Fleet")))</f>
        <v/>
      </c>
      <c r="I335" s="918" t="str">
        <f>IF(B38="","",G335*IF(H84=B$660,('Unit Costs'!C$30+'Unit Costs'!C$39+'Unit Costs'!C$35),IF(H84=B$661,('Unit Costs'!C$29+'Unit Costs'!C$38+'Unit Costs'!C$35),0)))</f>
        <v/>
      </c>
      <c r="J335" s="918">
        <f t="shared" si="107"/>
        <v>0</v>
      </c>
      <c r="K335" s="985">
        <f t="shared" si="108"/>
        <v>0</v>
      </c>
      <c r="L335" s="918">
        <f>IF(B38="",0,IF(K84="Yes",(((J84*(C84*43560/J84)/IF(O84=H$660,9.75,IF(O84=H$661,11.54,IF(O84=H$662,13,IF(O84=H$663,9.75,"Select Fleet")))))/(IF(O84=H$660,5280,IF(O84=H$661,5280,IF(O84=H$662,5280,IF(O84=H$663,7920,"Select Fleet"))))))+((IF(O84=H$660,0.25,IF(O84=H$661,0.25,IF(O84=H$662,0.25,IF(O84=H$663,0.5,"Select Fleet")))))*((C84*43560/J84)/IF(O84=H$660,9.75,IF(O84=H$661,11.54,IF(O84=H$662,13,IF(O84=H$663,9.75,"Select Fleet")))))/60))*IF(O84=H$660,'Unit Costs'!B$35,IF(O84=H$661,'Unit Costs'!B$34,IF(O84=H$662,'Unit Costs'!B$33,IF(O84=H$663,'Unit Costs'!B$52,"Select Fleet")))),0)+'Unit Costs'!H$83*C84)</f>
        <v>0</v>
      </c>
      <c r="M335" s="918">
        <f>IF(B38="",0,IF(K84="Yes",(((J84*(C84*43560/J84)/IF(O84=H$660,9.75,IF(O84=H$661,11.54,IF(O84=H$662,13,IF(O84=H$663,9.75,"Select Fleet")))))/(IF(O84=H$660,5280,IF(O84=H$661,5280,IF(O84=H$662,5280,IF(O84=H$663,7920,"Select Fleet"))))))+((IF(O84=H$660,0.25,IF(O84=H$661,0.25,IF(O84=H$662,0.25,IF(O84=H$663,0.5,"Select Fleet")))))*((C84*43560/J84)/IF(O84=H$660,9.75,IF(O84=H$661,11.54,IF(O84=H$662,13,IF(O84=H$663,9.75,"Select Fleet")))))/60))*IF(O84=H$660,'Unit Costs'!C$35,IF(O84=H$661,'Unit Costs'!C$34,IF(O84=H$662,'Unit Costs'!C$33,IF(O84=H$663,'Unit Costs'!C$52,"Select Fleet")))),0)+'Unit Costs'!I$83*C84)</f>
        <v>0</v>
      </c>
      <c r="N335" s="918">
        <f>IF(O84="",0,K335*(IF(L84=L$644,'Unit Costs'!D$89,IF(L84=L$645,'Unit Costs'!D$90,IF(L84=L$646,'Unit Costs'!D$91,IF(L84=L$647,'Unit Costs'!D$92,IF(L84=L$648,'Unit Costs'!D$93,IF(L84=L$649,'Unit Costs'!D$94,IF(L84=L$650,'Unit Costs'!D$95,IF(L84=L$651,'Unit Costs'!D$96))))))))+IF(M84=J$652,'Unit Costs'!D$100,IF(M84=J$653,'Unit Costs'!D$101,0))+IF(N84=K$652,'Unit Costs'!D$102,IF(N84=K$653,'Unit Costs'!D$103,0))))</f>
        <v>0</v>
      </c>
      <c r="O335" s="918">
        <f t="shared" si="109"/>
        <v>0</v>
      </c>
      <c r="P335" s="919">
        <f t="shared" si="110"/>
        <v>0</v>
      </c>
    </row>
    <row r="336" spans="1:17" s="297" customFormat="1" ht="15.75" thickBot="1">
      <c r="A336" s="34">
        <f>A39</f>
        <v>6</v>
      </c>
      <c r="B336" s="558" t="str">
        <f t="shared" si="101"/>
        <v/>
      </c>
      <c r="C336" s="977">
        <f t="shared" si="102"/>
        <v>0</v>
      </c>
      <c r="D336" s="977" t="str">
        <f t="shared" si="103"/>
        <v/>
      </c>
      <c r="E336" s="977">
        <f t="shared" si="104"/>
        <v>0</v>
      </c>
      <c r="F336" s="977">
        <f t="shared" si="105"/>
        <v>0</v>
      </c>
      <c r="G336" s="977">
        <f t="shared" si="106"/>
        <v>0</v>
      </c>
      <c r="H336" s="918" t="str">
        <f>IF(D39="","",G336*IF(H85=D$662,'Unit Costs'!B$30+'Unit Costs'!B$35+'Unit Costs'!B$39,IF(H85=D$663,'Unit Costs'!B$29+'Unit Costs'!B$35+'Unit Costs'!B$38,"Select Fleet")))</f>
        <v/>
      </c>
      <c r="I336" s="918" t="str">
        <f>IF(B39="","",G336*IF(H85=B$660,('Unit Costs'!C$30+'Unit Costs'!C$39+'Unit Costs'!C$35),IF(H85=B$661,('Unit Costs'!C$29+'Unit Costs'!C$38+'Unit Costs'!C$35),0)))</f>
        <v/>
      </c>
      <c r="J336" s="918">
        <f t="shared" si="107"/>
        <v>0</v>
      </c>
      <c r="K336" s="985">
        <f t="shared" si="108"/>
        <v>0</v>
      </c>
      <c r="L336" s="918">
        <f>IF(B39="",0,IF(K85="Yes",(((J85*(C85*43560/J85)/IF(O85=H$660,9.75,IF(O85=H$661,11.54,IF(O85=H$662,13,IF(O85=H$663,9.75,"Select Fleet")))))/(IF(O85=H$660,5280,IF(O85=H$661,5280,IF(O85=H$662,5280,IF(O85=H$663,7920,"Select Fleet"))))))+((IF(O85=H$660,0.25,IF(O85=H$661,0.25,IF(O85=H$662,0.25,IF(O85=H$663,0.5,"Select Fleet")))))*((C85*43560/J85)/IF(O85=H$660,9.75,IF(O85=H$661,11.54,IF(O85=H$662,13,IF(O85=H$663,9.75,"Select Fleet")))))/60))*IF(O85=H$660,'Unit Costs'!B$35,IF(O85=H$661,'Unit Costs'!B$34,IF(O85=H$662,'Unit Costs'!B$33,IF(O85=H$663,'Unit Costs'!B$52,"Select Fleet")))),0)+'Unit Costs'!H$83*C85)</f>
        <v>0</v>
      </c>
      <c r="M336" s="918">
        <f>IF(B39="",0,IF(K85="Yes",(((J85*(C85*43560/J85)/IF(O85=H$660,9.75,IF(O85=H$661,11.54,IF(O85=H$662,13,IF(O85=H$663,9.75,"Select Fleet")))))/(IF(O85=H$660,5280,IF(O85=H$661,5280,IF(O85=H$662,5280,IF(O85=H$663,7920,"Select Fleet"))))))+((IF(O85=H$660,0.25,IF(O85=H$661,0.25,IF(O85=H$662,0.25,IF(O85=H$663,0.5,"Select Fleet")))))*((C85*43560/J85)/IF(O85=H$660,9.75,IF(O85=H$661,11.54,IF(O85=H$662,13,IF(O85=H$663,9.75,"Select Fleet")))))/60))*IF(O85=H$660,'Unit Costs'!C$35,IF(O85=H$661,'Unit Costs'!C$34,IF(O85=H$662,'Unit Costs'!C$33,IF(O85=H$663,'Unit Costs'!C$52,"Select Fleet")))),0)+'Unit Costs'!I$83*C85)</f>
        <v>0</v>
      </c>
      <c r="N336" s="918">
        <f>IF(O85="",0,K336*(IF(L85=L$644,'Unit Costs'!D$89,IF(L85=L$645,'Unit Costs'!D$90,IF(L85=L$646,'Unit Costs'!D$91,IF(L85=L$647,'Unit Costs'!D$92,IF(L85=L$648,'Unit Costs'!D$93,IF(L85=L$649,'Unit Costs'!D$94,IF(L85=L$650,'Unit Costs'!D$95,IF(L85=L$651,'Unit Costs'!D$96))))))))+IF(M85=J$652,'Unit Costs'!D$100,IF(M85=J$653,'Unit Costs'!D$101,0))+IF(N85=K$652,'Unit Costs'!D$102,IF(N85=K$653,'Unit Costs'!D$103,0))))</f>
        <v>0</v>
      </c>
      <c r="O336" s="918">
        <f t="shared" si="109"/>
        <v>0</v>
      </c>
      <c r="P336" s="919">
        <f t="shared" si="110"/>
        <v>0</v>
      </c>
    </row>
    <row r="337" spans="1:16" s="297" customFormat="1" ht="15.75" thickBot="1">
      <c r="A337" s="9"/>
      <c r="B337" s="9"/>
      <c r="C337" s="975">
        <f>SUM(C331:C336)</f>
        <v>0</v>
      </c>
      <c r="D337" s="48"/>
      <c r="E337" s="48"/>
      <c r="F337" s="869"/>
      <c r="G337" s="986">
        <f>SUM(G330:G336)</f>
        <v>0</v>
      </c>
      <c r="H337" s="920">
        <f t="shared" ref="H337:O337" si="111">SUM(H331:H336)</f>
        <v>0</v>
      </c>
      <c r="I337" s="920">
        <f t="shared" si="111"/>
        <v>0</v>
      </c>
      <c r="J337" s="934">
        <f t="shared" si="111"/>
        <v>0</v>
      </c>
      <c r="K337" s="987">
        <f t="shared" si="111"/>
        <v>0</v>
      </c>
      <c r="L337" s="947">
        <f t="shared" si="111"/>
        <v>0</v>
      </c>
      <c r="M337" s="947">
        <f t="shared" si="111"/>
        <v>0</v>
      </c>
      <c r="N337" s="947">
        <f t="shared" si="111"/>
        <v>0</v>
      </c>
      <c r="O337" s="947">
        <f t="shared" si="111"/>
        <v>0</v>
      </c>
      <c r="P337" s="884"/>
    </row>
    <row r="338" spans="1:16" s="297" customFormat="1">
      <c r="A338" s="9"/>
      <c r="B338" s="9"/>
      <c r="C338" s="88"/>
      <c r="D338" s="71"/>
      <c r="E338" s="71"/>
      <c r="F338" s="72"/>
      <c r="G338" s="72"/>
      <c r="H338" s="72"/>
      <c r="I338" s="72"/>
    </row>
    <row r="339" spans="1:16" s="297" customFormat="1">
      <c r="A339" s="9"/>
      <c r="B339" s="9"/>
      <c r="C339" s="88"/>
      <c r="D339" s="71"/>
      <c r="E339" s="71"/>
      <c r="F339" s="72"/>
      <c r="G339" s="72"/>
      <c r="H339" s="72"/>
      <c r="I339" s="72"/>
    </row>
    <row r="340" spans="1:16" s="297" customFormat="1">
      <c r="A340" s="9"/>
      <c r="B340" s="134"/>
      <c r="C340" s="88"/>
      <c r="D340" s="71"/>
      <c r="E340" s="71"/>
      <c r="F340" s="72"/>
      <c r="G340" s="72"/>
      <c r="H340" s="72"/>
      <c r="I340" s="72"/>
    </row>
    <row r="341" spans="1:16" s="297" customFormat="1" ht="18.75">
      <c r="A341" s="1109" t="s">
        <v>596</v>
      </c>
      <c r="B341" s="1109"/>
      <c r="C341" s="1109"/>
      <c r="D341" s="1109"/>
      <c r="E341" s="1109"/>
      <c r="F341" s="1109"/>
      <c r="G341" s="72"/>
      <c r="H341" s="505"/>
    </row>
    <row r="342" spans="1:16" ht="15.75" thickBot="1">
      <c r="A342" s="9"/>
      <c r="B342" s="9"/>
      <c r="C342" s="88"/>
      <c r="D342" s="71"/>
      <c r="E342" s="71"/>
      <c r="F342" s="72"/>
      <c r="G342" s="72"/>
      <c r="H342" s="504"/>
      <c r="I342" s="503"/>
      <c r="J342" s="503"/>
      <c r="L342" s="297"/>
    </row>
    <row r="343" spans="1:16" ht="18.75" thickBot="1">
      <c r="A343" s="348" t="str">
        <f>B34</f>
        <v/>
      </c>
      <c r="B343" s="11"/>
      <c r="C343" s="350" t="s">
        <v>251</v>
      </c>
      <c r="D343" s="11"/>
      <c r="E343" s="11"/>
      <c r="F343" s="12"/>
      <c r="G343" s="72"/>
      <c r="H343" s="87"/>
      <c r="I343" s="72"/>
      <c r="J343" s="72"/>
      <c r="L343" s="297"/>
    </row>
    <row r="344" spans="1:16">
      <c r="A344" s="1"/>
      <c r="B344" s="4"/>
      <c r="C344" s="3" t="s">
        <v>2</v>
      </c>
      <c r="D344" s="3" t="s">
        <v>3</v>
      </c>
      <c r="E344" s="3" t="s">
        <v>4</v>
      </c>
      <c r="F344" s="2" t="s">
        <v>5</v>
      </c>
      <c r="G344" s="72"/>
      <c r="H344" s="90"/>
      <c r="L344" s="297"/>
    </row>
    <row r="345" spans="1:16">
      <c r="A345" s="988"/>
      <c r="B345" s="989" t="s">
        <v>54</v>
      </c>
      <c r="C345" s="990" t="s">
        <v>56</v>
      </c>
      <c r="D345" s="991">
        <f>G125</f>
        <v>0</v>
      </c>
      <c r="E345" s="991" t="s">
        <v>56</v>
      </c>
      <c r="F345" s="992">
        <f t="shared" ref="F345:F361" si="112">SUM(C345:E345)</f>
        <v>0</v>
      </c>
      <c r="G345" s="72"/>
      <c r="H345" s="90"/>
      <c r="L345" s="297"/>
    </row>
    <row r="346" spans="1:16">
      <c r="A346" s="988"/>
      <c r="B346" s="989" t="s">
        <v>92</v>
      </c>
      <c r="C346" s="993">
        <f>E140</f>
        <v>0</v>
      </c>
      <c r="D346" s="994">
        <f>F140</f>
        <v>0</v>
      </c>
      <c r="E346" s="994">
        <f>G140</f>
        <v>0</v>
      </c>
      <c r="F346" s="992">
        <f t="shared" si="112"/>
        <v>0</v>
      </c>
      <c r="G346" s="72"/>
      <c r="H346" s="72"/>
      <c r="O346" s="297"/>
    </row>
    <row r="347" spans="1:16">
      <c r="A347" s="988"/>
      <c r="B347" s="989" t="s">
        <v>85</v>
      </c>
      <c r="C347" s="993">
        <f>L156</f>
        <v>0</v>
      </c>
      <c r="D347" s="993">
        <f>M156</f>
        <v>0</v>
      </c>
      <c r="E347" s="993" t="s">
        <v>56</v>
      </c>
      <c r="F347" s="992">
        <f t="shared" si="112"/>
        <v>0</v>
      </c>
      <c r="G347" s="72"/>
      <c r="H347" s="72"/>
      <c r="O347" s="297"/>
    </row>
    <row r="348" spans="1:16">
      <c r="A348" s="988"/>
      <c r="B348" s="989" t="s">
        <v>597</v>
      </c>
      <c r="C348" s="993">
        <f>E171</f>
        <v>0</v>
      </c>
      <c r="D348" s="993">
        <f>F171</f>
        <v>0</v>
      </c>
      <c r="E348" s="993">
        <f>G171</f>
        <v>0</v>
      </c>
      <c r="F348" s="992">
        <f t="shared" si="112"/>
        <v>0</v>
      </c>
      <c r="G348" s="72"/>
      <c r="H348" s="72"/>
      <c r="O348" s="297"/>
    </row>
    <row r="349" spans="1:16">
      <c r="A349" s="995"/>
      <c r="B349" s="996" t="s">
        <v>83</v>
      </c>
      <c r="C349" s="993">
        <f>E186</f>
        <v>0</v>
      </c>
      <c r="D349" s="993">
        <f>F186</f>
        <v>0</v>
      </c>
      <c r="E349" s="993">
        <f>G186</f>
        <v>0</v>
      </c>
      <c r="F349" s="992">
        <f t="shared" si="112"/>
        <v>0</v>
      </c>
      <c r="G349" s="72"/>
      <c r="H349" s="72"/>
      <c r="O349" s="297"/>
    </row>
    <row r="350" spans="1:16">
      <c r="A350" s="988"/>
      <c r="B350" s="989" t="s">
        <v>598</v>
      </c>
      <c r="C350" s="993">
        <f>E201</f>
        <v>0</v>
      </c>
      <c r="D350" s="993">
        <f>F201</f>
        <v>0</v>
      </c>
      <c r="E350" s="993">
        <f>G201</f>
        <v>0</v>
      </c>
      <c r="F350" s="992">
        <f t="shared" si="112"/>
        <v>0</v>
      </c>
      <c r="G350" s="72"/>
      <c r="H350" s="72"/>
    </row>
    <row r="351" spans="1:16">
      <c r="A351" s="995"/>
      <c r="B351" s="996" t="s">
        <v>76</v>
      </c>
      <c r="C351" s="993">
        <f>F215</f>
        <v>0</v>
      </c>
      <c r="D351" s="993">
        <f>G215</f>
        <v>0</v>
      </c>
      <c r="E351" s="993" t="s">
        <v>56</v>
      </c>
      <c r="F351" s="992">
        <f t="shared" si="112"/>
        <v>0</v>
      </c>
      <c r="G351" s="72"/>
      <c r="H351" s="72"/>
    </row>
    <row r="352" spans="1:16">
      <c r="A352" s="995"/>
      <c r="B352" s="996" t="s">
        <v>58</v>
      </c>
      <c r="C352" s="993">
        <f>F229</f>
        <v>0</v>
      </c>
      <c r="D352" s="993">
        <f>G229</f>
        <v>0</v>
      </c>
      <c r="E352" s="993">
        <f>H229</f>
        <v>0</v>
      </c>
      <c r="F352" s="992">
        <f t="shared" si="112"/>
        <v>0</v>
      </c>
      <c r="G352" s="72"/>
      <c r="H352" s="72"/>
      <c r="I352" s="72"/>
    </row>
    <row r="353" spans="1:9">
      <c r="A353" s="995"/>
      <c r="B353" s="996" t="s">
        <v>59</v>
      </c>
      <c r="C353" s="993">
        <f>F243</f>
        <v>0</v>
      </c>
      <c r="D353" s="993">
        <f>G243</f>
        <v>0</v>
      </c>
      <c r="E353" s="993">
        <f>H243</f>
        <v>0</v>
      </c>
      <c r="F353" s="992">
        <f t="shared" si="112"/>
        <v>0</v>
      </c>
      <c r="G353" s="72"/>
      <c r="H353" s="72"/>
      <c r="I353" s="72"/>
    </row>
    <row r="354" spans="1:9">
      <c r="A354" s="995"/>
      <c r="B354" s="996" t="s">
        <v>511</v>
      </c>
      <c r="C354" s="993">
        <f>IF(G257="",0,G257)</f>
        <v>0</v>
      </c>
      <c r="D354" s="993">
        <f>IF(H257="",0,H257)</f>
        <v>0</v>
      </c>
      <c r="E354" s="993" t="s">
        <v>56</v>
      </c>
      <c r="F354" s="992">
        <f t="shared" si="112"/>
        <v>0</v>
      </c>
      <c r="G354" s="72"/>
      <c r="H354" s="72"/>
      <c r="I354" s="72"/>
    </row>
    <row r="355" spans="1:9">
      <c r="A355" s="995"/>
      <c r="B355" s="996" t="s">
        <v>34</v>
      </c>
      <c r="C355" s="993">
        <f>IF(H271="",0,H271)</f>
        <v>0</v>
      </c>
      <c r="D355" s="993">
        <f>IF(I271="",0,I271)</f>
        <v>0</v>
      </c>
      <c r="E355" s="994" t="s">
        <v>56</v>
      </c>
      <c r="F355" s="992">
        <f>SUM(C355:E355)</f>
        <v>0</v>
      </c>
      <c r="G355" s="72"/>
      <c r="H355" s="72"/>
      <c r="I355" s="72"/>
    </row>
    <row r="356" spans="1:9">
      <c r="A356" s="995"/>
      <c r="B356" s="996" t="s">
        <v>66</v>
      </c>
      <c r="C356" s="993">
        <f>C299</f>
        <v>0</v>
      </c>
      <c r="D356" s="993">
        <f>D299</f>
        <v>0</v>
      </c>
      <c r="E356" s="993">
        <f>E299</f>
        <v>0</v>
      </c>
      <c r="F356" s="992">
        <f t="shared" si="112"/>
        <v>0</v>
      </c>
      <c r="G356" s="72"/>
      <c r="H356" s="72"/>
      <c r="I356" s="72"/>
    </row>
    <row r="357" spans="1:9">
      <c r="A357" s="995"/>
      <c r="B357" s="996" t="s">
        <v>55</v>
      </c>
      <c r="C357" s="993">
        <f>F314</f>
        <v>0</v>
      </c>
      <c r="D357" s="993">
        <f>G314</f>
        <v>0</v>
      </c>
      <c r="E357" s="993">
        <f>H314</f>
        <v>0</v>
      </c>
      <c r="F357" s="992">
        <f t="shared" si="112"/>
        <v>0</v>
      </c>
      <c r="G357" s="72"/>
      <c r="H357" s="72"/>
      <c r="I357" s="72"/>
    </row>
    <row r="358" spans="1:9" ht="15.75" thickBot="1">
      <c r="A358" s="997"/>
      <c r="B358" s="998" t="s">
        <v>230</v>
      </c>
      <c r="C358" s="999" t="str">
        <f>H331</f>
        <v/>
      </c>
      <c r="D358" s="999" t="str">
        <f>I331</f>
        <v/>
      </c>
      <c r="E358" s="999" t="s">
        <v>56</v>
      </c>
      <c r="F358" s="992">
        <f t="shared" si="112"/>
        <v>0</v>
      </c>
      <c r="G358" s="72"/>
      <c r="H358" s="72"/>
      <c r="I358" s="72"/>
    </row>
    <row r="359" spans="1:9">
      <c r="A359" s="1000"/>
      <c r="B359" s="1001" t="s">
        <v>110</v>
      </c>
      <c r="C359" s="1002">
        <f>SUM(C345:C358)</f>
        <v>0</v>
      </c>
      <c r="D359" s="1002">
        <f>SUM(D345:D358)</f>
        <v>0</v>
      </c>
      <c r="E359" s="1002">
        <f>SUM(E345:E358)</f>
        <v>0</v>
      </c>
      <c r="F359" s="1003">
        <f t="shared" si="112"/>
        <v>0</v>
      </c>
      <c r="I359" s="72"/>
    </row>
    <row r="360" spans="1:9" ht="15.75" thickBot="1">
      <c r="A360" s="995"/>
      <c r="B360" s="996" t="s">
        <v>6</v>
      </c>
      <c r="C360" s="993">
        <f>L331</f>
        <v>0</v>
      </c>
      <c r="D360" s="993">
        <f>M331</f>
        <v>0</v>
      </c>
      <c r="E360" s="993">
        <f>N331</f>
        <v>0</v>
      </c>
      <c r="F360" s="1004">
        <f t="shared" si="112"/>
        <v>0</v>
      </c>
      <c r="G360" s="538" t="e">
        <f>(D34*E34/43560)</f>
        <v>#VALUE!</v>
      </c>
      <c r="I360" s="72"/>
    </row>
    <row r="361" spans="1:9" ht="15.75" thickBot="1">
      <c r="A361" s="1005"/>
      <c r="B361" s="1006" t="s">
        <v>7</v>
      </c>
      <c r="C361" s="1007">
        <f>C359+C360</f>
        <v>0</v>
      </c>
      <c r="D361" s="1007">
        <f>D359+D360</f>
        <v>0</v>
      </c>
      <c r="E361" s="1007">
        <f>E359+E360</f>
        <v>0</v>
      </c>
      <c r="F361" s="1008">
        <f t="shared" si="112"/>
        <v>0</v>
      </c>
      <c r="G361" s="362" t="str">
        <f>IF(B34="","",F361/(D34*E34/43560))</f>
        <v/>
      </c>
      <c r="H361" s="72"/>
      <c r="I361" s="72"/>
    </row>
    <row r="362" spans="1:9" ht="15.75" thickBot="1">
      <c r="A362" s="9"/>
      <c r="B362" s="9"/>
      <c r="C362" s="88"/>
      <c r="D362" s="71"/>
      <c r="E362" s="71"/>
      <c r="F362" s="72"/>
      <c r="G362" s="72"/>
      <c r="H362" s="72"/>
      <c r="I362" s="72"/>
    </row>
    <row r="363" spans="1:9" ht="18.75" thickBot="1">
      <c r="A363" s="348" t="str">
        <f>B35</f>
        <v/>
      </c>
      <c r="B363" s="11"/>
      <c r="C363" s="350" t="s">
        <v>251</v>
      </c>
      <c r="D363" s="11"/>
      <c r="E363" s="11"/>
      <c r="F363" s="12"/>
      <c r="G363" s="72"/>
      <c r="H363" s="72"/>
      <c r="I363" s="72"/>
    </row>
    <row r="364" spans="1:9">
      <c r="A364" s="1"/>
      <c r="B364" s="4"/>
      <c r="C364" s="3" t="s">
        <v>2</v>
      </c>
      <c r="D364" s="3" t="s">
        <v>3</v>
      </c>
      <c r="E364" s="3" t="s">
        <v>4</v>
      </c>
      <c r="F364" s="2" t="s">
        <v>5</v>
      </c>
      <c r="G364" s="72"/>
      <c r="H364" s="72"/>
      <c r="I364" s="72"/>
    </row>
    <row r="365" spans="1:9">
      <c r="A365" s="988"/>
      <c r="B365" s="989" t="s">
        <v>54</v>
      </c>
      <c r="C365" s="990" t="s">
        <v>56</v>
      </c>
      <c r="D365" s="991">
        <f>G126</f>
        <v>0</v>
      </c>
      <c r="E365" s="991" t="s">
        <v>56</v>
      </c>
      <c r="F365" s="992">
        <f t="shared" ref="F365:F381" si="113">SUM(C365:E365)</f>
        <v>0</v>
      </c>
      <c r="G365" s="72"/>
      <c r="H365" s="72"/>
      <c r="I365" s="72"/>
    </row>
    <row r="366" spans="1:9">
      <c r="A366" s="988"/>
      <c r="B366" s="989" t="s">
        <v>92</v>
      </c>
      <c r="C366" s="993">
        <f>E141</f>
        <v>0</v>
      </c>
      <c r="D366" s="994">
        <f>F141</f>
        <v>0</v>
      </c>
      <c r="E366" s="994">
        <f>G141</f>
        <v>0</v>
      </c>
      <c r="F366" s="992">
        <f t="shared" si="113"/>
        <v>0</v>
      </c>
      <c r="G366" s="72"/>
      <c r="H366" s="72"/>
      <c r="I366" s="72"/>
    </row>
    <row r="367" spans="1:9">
      <c r="A367" s="988"/>
      <c r="B367" s="989" t="s">
        <v>85</v>
      </c>
      <c r="C367" s="993">
        <f>L157</f>
        <v>0</v>
      </c>
      <c r="D367" s="993">
        <f>M157</f>
        <v>0</v>
      </c>
      <c r="E367" s="993" t="s">
        <v>56</v>
      </c>
      <c r="F367" s="992">
        <f t="shared" si="113"/>
        <v>0</v>
      </c>
      <c r="G367" s="72"/>
      <c r="H367" s="72"/>
      <c r="I367" s="360"/>
    </row>
    <row r="368" spans="1:9">
      <c r="A368" s="988"/>
      <c r="B368" s="989" t="s">
        <v>597</v>
      </c>
      <c r="C368" s="993">
        <f>E172</f>
        <v>0</v>
      </c>
      <c r="D368" s="993">
        <f>F172</f>
        <v>0</v>
      </c>
      <c r="E368" s="993">
        <f>G172</f>
        <v>0</v>
      </c>
      <c r="F368" s="992">
        <f t="shared" si="113"/>
        <v>0</v>
      </c>
      <c r="G368" s="72"/>
      <c r="H368" s="72"/>
      <c r="I368" s="72"/>
    </row>
    <row r="369" spans="1:14">
      <c r="A369" s="995"/>
      <c r="B369" s="996" t="s">
        <v>83</v>
      </c>
      <c r="C369" s="993">
        <f>E187</f>
        <v>0</v>
      </c>
      <c r="D369" s="993">
        <f>F187</f>
        <v>0</v>
      </c>
      <c r="E369" s="993">
        <f>G187</f>
        <v>0</v>
      </c>
      <c r="F369" s="992">
        <f t="shared" si="113"/>
        <v>0</v>
      </c>
      <c r="G369" s="72"/>
      <c r="H369" s="72"/>
      <c r="I369" s="72"/>
    </row>
    <row r="370" spans="1:14">
      <c r="A370" s="988"/>
      <c r="B370" s="989" t="s">
        <v>598</v>
      </c>
      <c r="C370" s="993">
        <f>E202</f>
        <v>0</v>
      </c>
      <c r="D370" s="993">
        <f>F202</f>
        <v>0</v>
      </c>
      <c r="E370" s="993">
        <f>G202</f>
        <v>0</v>
      </c>
      <c r="F370" s="992">
        <f t="shared" si="113"/>
        <v>0</v>
      </c>
      <c r="G370" s="72"/>
      <c r="H370" s="72"/>
      <c r="I370" s="72"/>
    </row>
    <row r="371" spans="1:14">
      <c r="A371" s="995"/>
      <c r="B371" s="996" t="s">
        <v>76</v>
      </c>
      <c r="C371" s="993">
        <f>F216</f>
        <v>0</v>
      </c>
      <c r="D371" s="993">
        <f>G216</f>
        <v>0</v>
      </c>
      <c r="E371" s="993" t="s">
        <v>56</v>
      </c>
      <c r="F371" s="992">
        <f t="shared" si="113"/>
        <v>0</v>
      </c>
      <c r="G371" s="72"/>
      <c r="H371" s="72"/>
      <c r="I371" s="72"/>
    </row>
    <row r="372" spans="1:14">
      <c r="A372" s="995"/>
      <c r="B372" s="996" t="s">
        <v>58</v>
      </c>
      <c r="C372" s="993">
        <f>F230</f>
        <v>0</v>
      </c>
      <c r="D372" s="993">
        <f>G230</f>
        <v>0</v>
      </c>
      <c r="E372" s="993">
        <f>H230</f>
        <v>0</v>
      </c>
      <c r="F372" s="992">
        <f t="shared" si="113"/>
        <v>0</v>
      </c>
      <c r="G372" s="72"/>
      <c r="H372" s="72"/>
      <c r="I372" s="72"/>
    </row>
    <row r="373" spans="1:14">
      <c r="A373" s="995"/>
      <c r="B373" s="996" t="s">
        <v>59</v>
      </c>
      <c r="C373" s="993">
        <f>F244</f>
        <v>0</v>
      </c>
      <c r="D373" s="993">
        <f>G244</f>
        <v>0</v>
      </c>
      <c r="E373" s="993">
        <f>H244</f>
        <v>0</v>
      </c>
      <c r="F373" s="992">
        <f t="shared" si="113"/>
        <v>0</v>
      </c>
      <c r="G373" s="72"/>
      <c r="H373" s="72"/>
      <c r="I373" s="72"/>
    </row>
    <row r="374" spans="1:14">
      <c r="A374" s="995"/>
      <c r="B374" s="996" t="s">
        <v>511</v>
      </c>
      <c r="C374" s="993">
        <f>IF(G258="",0,G258)</f>
        <v>0</v>
      </c>
      <c r="D374" s="993">
        <f>IF(H258="",0,H258)</f>
        <v>0</v>
      </c>
      <c r="E374" s="993" t="s">
        <v>56</v>
      </c>
      <c r="F374" s="992">
        <f t="shared" si="113"/>
        <v>0</v>
      </c>
      <c r="G374" s="72"/>
      <c r="H374" s="72"/>
      <c r="I374" s="72"/>
    </row>
    <row r="375" spans="1:14">
      <c r="A375" s="995"/>
      <c r="B375" s="996" t="s">
        <v>34</v>
      </c>
      <c r="C375" s="993">
        <f>IF(H272="",0,H272)</f>
        <v>0</v>
      </c>
      <c r="D375" s="993">
        <f>IF(I272="",0,I272)</f>
        <v>0</v>
      </c>
      <c r="E375" s="994" t="s">
        <v>56</v>
      </c>
      <c r="F375" s="992">
        <f t="shared" si="113"/>
        <v>0</v>
      </c>
      <c r="G375" s="72"/>
      <c r="H375" s="72"/>
      <c r="I375" s="72"/>
    </row>
    <row r="376" spans="1:14">
      <c r="A376" s="995"/>
      <c r="B376" s="996" t="s">
        <v>66</v>
      </c>
      <c r="C376" s="993">
        <f>C300</f>
        <v>0</v>
      </c>
      <c r="D376" s="993">
        <f>D300</f>
        <v>0</v>
      </c>
      <c r="E376" s="993">
        <f>E300</f>
        <v>0</v>
      </c>
      <c r="F376" s="992">
        <f t="shared" si="113"/>
        <v>0</v>
      </c>
      <c r="G376" s="72"/>
      <c r="H376" s="72"/>
      <c r="I376" s="72"/>
    </row>
    <row r="377" spans="1:14">
      <c r="A377" s="995"/>
      <c r="B377" s="996" t="s">
        <v>55</v>
      </c>
      <c r="C377" s="993">
        <f>F315</f>
        <v>0</v>
      </c>
      <c r="D377" s="993">
        <f>G315</f>
        <v>0</v>
      </c>
      <c r="E377" s="993">
        <f>H315</f>
        <v>0</v>
      </c>
      <c r="F377" s="992">
        <f t="shared" si="113"/>
        <v>0</v>
      </c>
      <c r="G377" s="72"/>
      <c r="H377" s="72"/>
      <c r="I377" s="72"/>
    </row>
    <row r="378" spans="1:14" ht="15.75" thickBot="1">
      <c r="A378" s="997"/>
      <c r="B378" s="998" t="s">
        <v>230</v>
      </c>
      <c r="C378" s="999" t="str">
        <f>H332</f>
        <v/>
      </c>
      <c r="D378" s="999" t="str">
        <f>I332</f>
        <v/>
      </c>
      <c r="E378" s="999" t="s">
        <v>56</v>
      </c>
      <c r="F378" s="992">
        <f t="shared" si="113"/>
        <v>0</v>
      </c>
      <c r="G378" s="72"/>
      <c r="H378" s="72"/>
      <c r="I378" s="72"/>
    </row>
    <row r="379" spans="1:14">
      <c r="A379" s="1000"/>
      <c r="B379" s="1001" t="s">
        <v>110</v>
      </c>
      <c r="C379" s="1002">
        <f>SUM(C365:C378)</f>
        <v>0</v>
      </c>
      <c r="D379" s="1002">
        <f>SUM(D365:D378)</f>
        <v>0</v>
      </c>
      <c r="E379" s="1002">
        <f>SUM(E365:E378)</f>
        <v>0</v>
      </c>
      <c r="F379" s="1003">
        <f t="shared" si="113"/>
        <v>0</v>
      </c>
      <c r="I379" s="72"/>
    </row>
    <row r="380" spans="1:14" ht="15.75" thickBot="1">
      <c r="A380" s="995"/>
      <c r="B380" s="996" t="s">
        <v>6</v>
      </c>
      <c r="C380" s="993">
        <f>L332</f>
        <v>0</v>
      </c>
      <c r="D380" s="993">
        <f>M332</f>
        <v>0</v>
      </c>
      <c r="E380" s="993">
        <f>N332</f>
        <v>0</v>
      </c>
      <c r="F380" s="1004">
        <f t="shared" si="113"/>
        <v>0</v>
      </c>
      <c r="G380" s="538" t="e">
        <f>(D35*E35/43560)</f>
        <v>#VALUE!</v>
      </c>
      <c r="I380" s="72"/>
    </row>
    <row r="381" spans="1:14" ht="15.75" thickBot="1">
      <c r="A381" s="1005"/>
      <c r="B381" s="1006" t="s">
        <v>7</v>
      </c>
      <c r="C381" s="1007">
        <f>C379+C380</f>
        <v>0</v>
      </c>
      <c r="D381" s="1007">
        <f>D379+D380</f>
        <v>0</v>
      </c>
      <c r="E381" s="1007">
        <f>E379+E380</f>
        <v>0</v>
      </c>
      <c r="F381" s="1008">
        <f t="shared" si="113"/>
        <v>0</v>
      </c>
      <c r="G381" s="362" t="str">
        <f>IF(B35="","",F381/(D35*E35/43560))</f>
        <v/>
      </c>
      <c r="H381" s="72"/>
      <c r="I381" s="72"/>
    </row>
    <row r="382" spans="1:14" ht="15.75" thickBot="1">
      <c r="A382" s="9"/>
      <c r="B382" s="9"/>
      <c r="C382" s="88"/>
      <c r="D382" s="71"/>
      <c r="E382" s="71"/>
      <c r="F382" s="72"/>
      <c r="G382" s="72"/>
      <c r="H382" s="72"/>
      <c r="I382" s="72"/>
    </row>
    <row r="383" spans="1:14" ht="18.75" thickBot="1">
      <c r="A383" s="348" t="str">
        <f>B36</f>
        <v/>
      </c>
      <c r="B383" s="11"/>
      <c r="C383" s="350" t="s">
        <v>251</v>
      </c>
      <c r="D383" s="11"/>
      <c r="E383" s="11"/>
      <c r="F383" s="12"/>
      <c r="G383" s="72"/>
      <c r="N383" s="351"/>
    </row>
    <row r="384" spans="1:14">
      <c r="A384" s="1"/>
      <c r="B384" s="4"/>
      <c r="C384" s="3" t="s">
        <v>2</v>
      </c>
      <c r="D384" s="3" t="s">
        <v>3</v>
      </c>
      <c r="E384" s="3" t="s">
        <v>4</v>
      </c>
      <c r="F384" s="2" t="s">
        <v>5</v>
      </c>
      <c r="G384" s="72"/>
    </row>
    <row r="385" spans="1:14">
      <c r="A385" s="988"/>
      <c r="B385" s="989" t="s">
        <v>54</v>
      </c>
      <c r="C385" s="990" t="s">
        <v>56</v>
      </c>
      <c r="D385" s="991">
        <f>G127</f>
        <v>0</v>
      </c>
      <c r="E385" s="991" t="s">
        <v>56</v>
      </c>
      <c r="F385" s="992">
        <f t="shared" ref="F385:F401" si="114">SUM(C385:E385)</f>
        <v>0</v>
      </c>
      <c r="G385" s="72"/>
    </row>
    <row r="386" spans="1:14">
      <c r="A386" s="988"/>
      <c r="B386" s="989" t="s">
        <v>92</v>
      </c>
      <c r="C386" s="993">
        <f>E142</f>
        <v>0</v>
      </c>
      <c r="D386" s="994">
        <f>F142</f>
        <v>0</v>
      </c>
      <c r="E386" s="994">
        <f>G142</f>
        <v>0</v>
      </c>
      <c r="F386" s="992">
        <f t="shared" si="114"/>
        <v>0</v>
      </c>
      <c r="G386" s="72"/>
    </row>
    <row r="387" spans="1:14">
      <c r="A387" s="988"/>
      <c r="B387" s="989" t="s">
        <v>85</v>
      </c>
      <c r="C387" s="993">
        <f>L158</f>
        <v>0</v>
      </c>
      <c r="D387" s="993">
        <f>M158</f>
        <v>0</v>
      </c>
      <c r="E387" s="993" t="s">
        <v>56</v>
      </c>
      <c r="F387" s="992">
        <f t="shared" si="114"/>
        <v>0</v>
      </c>
      <c r="G387" s="72"/>
    </row>
    <row r="388" spans="1:14">
      <c r="A388" s="988"/>
      <c r="B388" s="989" t="s">
        <v>597</v>
      </c>
      <c r="C388" s="993">
        <f>E173</f>
        <v>0</v>
      </c>
      <c r="D388" s="993">
        <f>F173</f>
        <v>0</v>
      </c>
      <c r="E388" s="993">
        <f>G173</f>
        <v>0</v>
      </c>
      <c r="F388" s="992">
        <f t="shared" si="114"/>
        <v>0</v>
      </c>
      <c r="G388" s="72"/>
    </row>
    <row r="389" spans="1:14">
      <c r="A389" s="995"/>
      <c r="B389" s="996" t="s">
        <v>83</v>
      </c>
      <c r="C389" s="993">
        <f>E188</f>
        <v>0</v>
      </c>
      <c r="D389" s="993">
        <f>F188</f>
        <v>0</v>
      </c>
      <c r="E389" s="993">
        <f>G188</f>
        <v>0</v>
      </c>
      <c r="F389" s="992">
        <f t="shared" si="114"/>
        <v>0</v>
      </c>
      <c r="G389" s="72"/>
    </row>
    <row r="390" spans="1:14">
      <c r="A390" s="988"/>
      <c r="B390" s="989" t="s">
        <v>598</v>
      </c>
      <c r="C390" s="993">
        <f>E203</f>
        <v>0</v>
      </c>
      <c r="D390" s="993">
        <f>F203</f>
        <v>0</v>
      </c>
      <c r="E390" s="993">
        <f>G203</f>
        <v>0</v>
      </c>
      <c r="F390" s="992">
        <f t="shared" si="114"/>
        <v>0</v>
      </c>
      <c r="G390" s="72"/>
    </row>
    <row r="391" spans="1:14">
      <c r="A391" s="995"/>
      <c r="B391" s="996" t="s">
        <v>76</v>
      </c>
      <c r="C391" s="993">
        <f>F217</f>
        <v>0</v>
      </c>
      <c r="D391" s="993">
        <f>G217</f>
        <v>0</v>
      </c>
      <c r="E391" s="993" t="s">
        <v>56</v>
      </c>
      <c r="F391" s="992">
        <f t="shared" si="114"/>
        <v>0</v>
      </c>
      <c r="G391" s="72"/>
    </row>
    <row r="392" spans="1:14">
      <c r="A392" s="995"/>
      <c r="B392" s="996" t="s">
        <v>58</v>
      </c>
      <c r="C392" s="993">
        <f>F231</f>
        <v>0</v>
      </c>
      <c r="D392" s="993">
        <f>G231</f>
        <v>0</v>
      </c>
      <c r="E392" s="993">
        <f>H231</f>
        <v>0</v>
      </c>
      <c r="F392" s="992">
        <f t="shared" si="114"/>
        <v>0</v>
      </c>
      <c r="G392" s="72"/>
      <c r="N392" s="127"/>
    </row>
    <row r="393" spans="1:14">
      <c r="A393" s="995"/>
      <c r="B393" s="996" t="s">
        <v>59</v>
      </c>
      <c r="C393" s="993">
        <f>F245</f>
        <v>0</v>
      </c>
      <c r="D393" s="993">
        <f>G245</f>
        <v>0</v>
      </c>
      <c r="E393" s="993">
        <f>H245</f>
        <v>0</v>
      </c>
      <c r="F393" s="992">
        <f t="shared" si="114"/>
        <v>0</v>
      </c>
      <c r="G393" s="72"/>
    </row>
    <row r="394" spans="1:14">
      <c r="A394" s="995"/>
      <c r="B394" s="996" t="s">
        <v>511</v>
      </c>
      <c r="C394" s="993">
        <f>IF(G259="",0,G259)</f>
        <v>0</v>
      </c>
      <c r="D394" s="993">
        <f>IF(H259="",0,H259)</f>
        <v>0</v>
      </c>
      <c r="E394" s="993" t="s">
        <v>56</v>
      </c>
      <c r="F394" s="992">
        <f t="shared" si="114"/>
        <v>0</v>
      </c>
      <c r="G394" s="72"/>
    </row>
    <row r="395" spans="1:14">
      <c r="A395" s="995"/>
      <c r="B395" s="996" t="s">
        <v>34</v>
      </c>
      <c r="C395" s="993">
        <f>IF(H273="",0,H273)</f>
        <v>0</v>
      </c>
      <c r="D395" s="993">
        <f>IF(I273="",0,I273)</f>
        <v>0</v>
      </c>
      <c r="E395" s="994" t="s">
        <v>56</v>
      </c>
      <c r="F395" s="992">
        <f t="shared" si="114"/>
        <v>0</v>
      </c>
      <c r="G395" s="72"/>
    </row>
    <row r="396" spans="1:14">
      <c r="A396" s="995"/>
      <c r="B396" s="996" t="s">
        <v>66</v>
      </c>
      <c r="C396" s="993">
        <f>C301</f>
        <v>0</v>
      </c>
      <c r="D396" s="993">
        <f>D301</f>
        <v>0</v>
      </c>
      <c r="E396" s="993">
        <f>E301</f>
        <v>0</v>
      </c>
      <c r="F396" s="992">
        <f t="shared" si="114"/>
        <v>0</v>
      </c>
      <c r="G396" s="72"/>
    </row>
    <row r="397" spans="1:14">
      <c r="A397" s="995"/>
      <c r="B397" s="996" t="s">
        <v>55</v>
      </c>
      <c r="C397" s="993">
        <f>F316</f>
        <v>0</v>
      </c>
      <c r="D397" s="993">
        <f>G316</f>
        <v>0</v>
      </c>
      <c r="E397" s="993">
        <f>H316</f>
        <v>0</v>
      </c>
      <c r="F397" s="992">
        <f t="shared" si="114"/>
        <v>0</v>
      </c>
      <c r="G397" s="72"/>
    </row>
    <row r="398" spans="1:14" ht="15.75" thickBot="1">
      <c r="A398" s="997"/>
      <c r="B398" s="998" t="s">
        <v>230</v>
      </c>
      <c r="C398" s="999" t="str">
        <f>H333</f>
        <v/>
      </c>
      <c r="D398" s="999" t="str">
        <f>I333</f>
        <v/>
      </c>
      <c r="E398" s="999" t="s">
        <v>56</v>
      </c>
      <c r="F398" s="992">
        <f t="shared" si="114"/>
        <v>0</v>
      </c>
      <c r="G398" s="72"/>
    </row>
    <row r="399" spans="1:14">
      <c r="A399" s="1000"/>
      <c r="B399" s="1001" t="s">
        <v>110</v>
      </c>
      <c r="C399" s="1002">
        <f>SUM(C385:C398)</f>
        <v>0</v>
      </c>
      <c r="D399" s="1002">
        <f>SUM(D385:D398)</f>
        <v>0</v>
      </c>
      <c r="E399" s="1002">
        <f>SUM(E385:E398)</f>
        <v>0</v>
      </c>
      <c r="F399" s="1003">
        <f t="shared" si="114"/>
        <v>0</v>
      </c>
    </row>
    <row r="400" spans="1:14" ht="15.75" thickBot="1">
      <c r="A400" s="995"/>
      <c r="B400" s="996" t="s">
        <v>6</v>
      </c>
      <c r="C400" s="993">
        <f>L333</f>
        <v>0</v>
      </c>
      <c r="D400" s="993">
        <f>M333</f>
        <v>0</v>
      </c>
      <c r="E400" s="993">
        <f>N333</f>
        <v>0</v>
      </c>
      <c r="F400" s="1004">
        <f t="shared" si="114"/>
        <v>0</v>
      </c>
      <c r="G400" s="538" t="e">
        <f>(D36*E36/43560)</f>
        <v>#VALUE!</v>
      </c>
    </row>
    <row r="401" spans="1:7" ht="15.75" thickBot="1">
      <c r="A401" s="1005"/>
      <c r="B401" s="1006" t="s">
        <v>7</v>
      </c>
      <c r="C401" s="1007">
        <f>C399+C400</f>
        <v>0</v>
      </c>
      <c r="D401" s="1007">
        <f>D399+D400</f>
        <v>0</v>
      </c>
      <c r="E401" s="1007">
        <f>E399+E400</f>
        <v>0</v>
      </c>
      <c r="F401" s="1008">
        <f t="shared" si="114"/>
        <v>0</v>
      </c>
      <c r="G401" s="362" t="str">
        <f>IF(B36="","",F401/(D36*E36/43560))</f>
        <v/>
      </c>
    </row>
    <row r="402" spans="1:7">
      <c r="A402" s="81"/>
      <c r="B402" s="98"/>
      <c r="C402" s="99"/>
      <c r="D402" s="99"/>
      <c r="E402" s="99"/>
      <c r="F402" s="99"/>
      <c r="G402" s="362"/>
    </row>
    <row r="403" spans="1:7" ht="15.75" thickBot="1">
      <c r="A403" s="72"/>
      <c r="B403" s="72"/>
      <c r="G403" s="72"/>
    </row>
    <row r="404" spans="1:7" ht="18.75" thickBot="1">
      <c r="A404" s="349" t="str">
        <f>B37</f>
        <v/>
      </c>
      <c r="B404" s="11"/>
      <c r="C404" s="350" t="s">
        <v>251</v>
      </c>
      <c r="D404" s="11"/>
      <c r="E404" s="11"/>
      <c r="F404" s="12"/>
      <c r="G404" s="72"/>
    </row>
    <row r="405" spans="1:7">
      <c r="A405" s="1"/>
      <c r="B405" s="4"/>
      <c r="C405" s="3" t="s">
        <v>2</v>
      </c>
      <c r="D405" s="3" t="s">
        <v>3</v>
      </c>
      <c r="E405" s="3" t="s">
        <v>4</v>
      </c>
      <c r="F405" s="2" t="s">
        <v>5</v>
      </c>
      <c r="G405" s="72"/>
    </row>
    <row r="406" spans="1:7">
      <c r="A406" s="988"/>
      <c r="B406" s="989" t="s">
        <v>54</v>
      </c>
      <c r="C406" s="990" t="s">
        <v>56</v>
      </c>
      <c r="D406" s="991">
        <f>G128</f>
        <v>0</v>
      </c>
      <c r="E406" s="991" t="s">
        <v>56</v>
      </c>
      <c r="F406" s="992">
        <f t="shared" ref="F406:F422" si="115">SUM(C406:E406)</f>
        <v>0</v>
      </c>
      <c r="G406" s="72"/>
    </row>
    <row r="407" spans="1:7">
      <c r="A407" s="988"/>
      <c r="B407" s="989" t="s">
        <v>92</v>
      </c>
      <c r="C407" s="993">
        <f>E143</f>
        <v>0</v>
      </c>
      <c r="D407" s="994">
        <f>F143</f>
        <v>0</v>
      </c>
      <c r="E407" s="994">
        <f>G143</f>
        <v>0</v>
      </c>
      <c r="F407" s="992">
        <f t="shared" si="115"/>
        <v>0</v>
      </c>
      <c r="G407" s="72"/>
    </row>
    <row r="408" spans="1:7">
      <c r="A408" s="988"/>
      <c r="B408" s="989" t="s">
        <v>85</v>
      </c>
      <c r="C408" s="993">
        <f>L159</f>
        <v>0</v>
      </c>
      <c r="D408" s="993">
        <f>M159</f>
        <v>0</v>
      </c>
      <c r="E408" s="993" t="s">
        <v>56</v>
      </c>
      <c r="F408" s="992">
        <f t="shared" si="115"/>
        <v>0</v>
      </c>
      <c r="G408" s="72"/>
    </row>
    <row r="409" spans="1:7">
      <c r="A409" s="988"/>
      <c r="B409" s="989" t="s">
        <v>597</v>
      </c>
      <c r="C409" s="993">
        <f>E174</f>
        <v>0</v>
      </c>
      <c r="D409" s="993">
        <f>F174</f>
        <v>0</v>
      </c>
      <c r="E409" s="993">
        <f>G174</f>
        <v>0</v>
      </c>
      <c r="F409" s="992">
        <f t="shared" si="115"/>
        <v>0</v>
      </c>
      <c r="G409" s="72"/>
    </row>
    <row r="410" spans="1:7">
      <c r="A410" s="995"/>
      <c r="B410" s="996" t="s">
        <v>83</v>
      </c>
      <c r="C410" s="993">
        <f>E189</f>
        <v>0</v>
      </c>
      <c r="D410" s="993">
        <f>F189</f>
        <v>0</v>
      </c>
      <c r="E410" s="993">
        <f>G189</f>
        <v>0</v>
      </c>
      <c r="F410" s="992">
        <f t="shared" si="115"/>
        <v>0</v>
      </c>
      <c r="G410" s="72"/>
    </row>
    <row r="411" spans="1:7">
      <c r="A411" s="988"/>
      <c r="B411" s="989" t="s">
        <v>598</v>
      </c>
      <c r="C411" s="993">
        <f>E204</f>
        <v>0</v>
      </c>
      <c r="D411" s="993">
        <f>F204</f>
        <v>0</v>
      </c>
      <c r="E411" s="993">
        <f>G204</f>
        <v>0</v>
      </c>
      <c r="F411" s="992">
        <f t="shared" si="115"/>
        <v>0</v>
      </c>
      <c r="G411" s="72"/>
    </row>
    <row r="412" spans="1:7">
      <c r="A412" s="995"/>
      <c r="B412" s="996" t="s">
        <v>76</v>
      </c>
      <c r="C412" s="993">
        <f>F218</f>
        <v>0</v>
      </c>
      <c r="D412" s="993">
        <f>G218</f>
        <v>0</v>
      </c>
      <c r="E412" s="993" t="s">
        <v>56</v>
      </c>
      <c r="F412" s="992">
        <f t="shared" si="115"/>
        <v>0</v>
      </c>
      <c r="G412" s="72"/>
    </row>
    <row r="413" spans="1:7">
      <c r="A413" s="995"/>
      <c r="B413" s="996" t="s">
        <v>58</v>
      </c>
      <c r="C413" s="993">
        <f>F232</f>
        <v>0</v>
      </c>
      <c r="D413" s="993">
        <f>G232</f>
        <v>0</v>
      </c>
      <c r="E413" s="993">
        <f>H232</f>
        <v>0</v>
      </c>
      <c r="F413" s="992">
        <f t="shared" si="115"/>
        <v>0</v>
      </c>
      <c r="G413" s="72"/>
    </row>
    <row r="414" spans="1:7">
      <c r="A414" s="995"/>
      <c r="B414" s="996" t="s">
        <v>59</v>
      </c>
      <c r="C414" s="993">
        <f>F246</f>
        <v>0</v>
      </c>
      <c r="D414" s="993">
        <f>G245</f>
        <v>0</v>
      </c>
      <c r="E414" s="993">
        <f>H245</f>
        <v>0</v>
      </c>
      <c r="F414" s="992">
        <f t="shared" si="115"/>
        <v>0</v>
      </c>
      <c r="G414" s="72"/>
    </row>
    <row r="415" spans="1:7">
      <c r="A415" s="995"/>
      <c r="B415" s="996" t="s">
        <v>511</v>
      </c>
      <c r="C415" s="993">
        <f>IF(G260="",0,G260)</f>
        <v>0</v>
      </c>
      <c r="D415" s="993">
        <f>IF(H260="",0,H260)</f>
        <v>0</v>
      </c>
      <c r="E415" s="993" t="s">
        <v>56</v>
      </c>
      <c r="F415" s="992">
        <f t="shared" si="115"/>
        <v>0</v>
      </c>
      <c r="G415" s="72"/>
    </row>
    <row r="416" spans="1:7">
      <c r="A416" s="995"/>
      <c r="B416" s="996" t="s">
        <v>34</v>
      </c>
      <c r="C416" s="993">
        <f>IF(H274="",0,H274)</f>
        <v>0</v>
      </c>
      <c r="D416" s="993">
        <f>IF(I274="",0,I274)</f>
        <v>0</v>
      </c>
      <c r="E416" s="994" t="s">
        <v>56</v>
      </c>
      <c r="F416" s="992">
        <f t="shared" si="115"/>
        <v>0</v>
      </c>
      <c r="G416" s="72"/>
    </row>
    <row r="417" spans="1:7">
      <c r="A417" s="995"/>
      <c r="B417" s="996" t="s">
        <v>66</v>
      </c>
      <c r="C417" s="993">
        <f>C302</f>
        <v>0</v>
      </c>
      <c r="D417" s="993">
        <f>D302</f>
        <v>0</v>
      </c>
      <c r="E417" s="993">
        <f>E302</f>
        <v>0</v>
      </c>
      <c r="F417" s="992">
        <f t="shared" si="115"/>
        <v>0</v>
      </c>
      <c r="G417" s="72"/>
    </row>
    <row r="418" spans="1:7">
      <c r="A418" s="995"/>
      <c r="B418" s="996" t="s">
        <v>55</v>
      </c>
      <c r="C418" s="993">
        <f>F317</f>
        <v>0</v>
      </c>
      <c r="D418" s="993">
        <f>G317</f>
        <v>0</v>
      </c>
      <c r="E418" s="993">
        <f>H317</f>
        <v>0</v>
      </c>
      <c r="F418" s="992">
        <f t="shared" si="115"/>
        <v>0</v>
      </c>
      <c r="G418" s="72"/>
    </row>
    <row r="419" spans="1:7" ht="15.75" thickBot="1">
      <c r="A419" s="997"/>
      <c r="B419" s="998" t="s">
        <v>230</v>
      </c>
      <c r="C419" s="999" t="str">
        <f>H334</f>
        <v/>
      </c>
      <c r="D419" s="999" t="str">
        <f>I334</f>
        <v/>
      </c>
      <c r="E419" s="999" t="s">
        <v>56</v>
      </c>
      <c r="F419" s="992">
        <f t="shared" si="115"/>
        <v>0</v>
      </c>
      <c r="G419" s="72"/>
    </row>
    <row r="420" spans="1:7">
      <c r="A420" s="1000"/>
      <c r="B420" s="1001" t="s">
        <v>110</v>
      </c>
      <c r="C420" s="1002">
        <f>SUM(C406:C419)</f>
        <v>0</v>
      </c>
      <c r="D420" s="1002">
        <f>SUM(D406:D419)</f>
        <v>0</v>
      </c>
      <c r="E420" s="1002">
        <f>SUM(E406:E419)</f>
        <v>0</v>
      </c>
      <c r="F420" s="1003">
        <f t="shared" si="115"/>
        <v>0</v>
      </c>
    </row>
    <row r="421" spans="1:7" ht="15.75" thickBot="1">
      <c r="A421" s="995"/>
      <c r="B421" s="996" t="s">
        <v>6</v>
      </c>
      <c r="C421" s="993">
        <f>L334</f>
        <v>0</v>
      </c>
      <c r="D421" s="993">
        <f>M334</f>
        <v>0</v>
      </c>
      <c r="E421" s="993">
        <f>N334</f>
        <v>0</v>
      </c>
      <c r="F421" s="1004">
        <f t="shared" si="115"/>
        <v>0</v>
      </c>
      <c r="G421" s="538" t="e">
        <f>(D37*E37/43560)</f>
        <v>#VALUE!</v>
      </c>
    </row>
    <row r="422" spans="1:7" ht="15.75" thickBot="1">
      <c r="A422" s="1005"/>
      <c r="B422" s="1006" t="s">
        <v>7</v>
      </c>
      <c r="C422" s="1007">
        <f>C420+C421</f>
        <v>0</v>
      </c>
      <c r="D422" s="1007">
        <f>D420+D421</f>
        <v>0</v>
      </c>
      <c r="E422" s="1007">
        <f>E420+E421</f>
        <v>0</v>
      </c>
      <c r="F422" s="1008">
        <f t="shared" si="115"/>
        <v>0</v>
      </c>
      <c r="G422" s="362" t="str">
        <f>IF(B37="","",F422/(D37*E37/43560))</f>
        <v/>
      </c>
    </row>
    <row r="423" spans="1:7" ht="15.75" thickBot="1">
      <c r="A423" s="72"/>
      <c r="B423" s="72"/>
      <c r="G423" s="72"/>
    </row>
    <row r="424" spans="1:7" ht="18.75" thickBot="1">
      <c r="A424" s="349" t="str">
        <f>B38</f>
        <v/>
      </c>
      <c r="B424" s="11"/>
      <c r="C424" s="356" t="s">
        <v>251</v>
      </c>
      <c r="D424" s="11"/>
      <c r="E424" s="11"/>
      <c r="F424" s="12"/>
      <c r="G424" s="72"/>
    </row>
    <row r="425" spans="1:7">
      <c r="A425" s="1"/>
      <c r="B425" s="4"/>
      <c r="C425" s="3" t="s">
        <v>2</v>
      </c>
      <c r="D425" s="3" t="s">
        <v>3</v>
      </c>
      <c r="E425" s="3" t="s">
        <v>4</v>
      </c>
      <c r="F425" s="2" t="s">
        <v>5</v>
      </c>
      <c r="G425" s="72"/>
    </row>
    <row r="426" spans="1:7">
      <c r="A426" s="988"/>
      <c r="B426" s="989" t="s">
        <v>54</v>
      </c>
      <c r="C426" s="990" t="s">
        <v>56</v>
      </c>
      <c r="D426" s="990">
        <f>G129</f>
        <v>0</v>
      </c>
      <c r="E426" s="990" t="s">
        <v>56</v>
      </c>
      <c r="F426" s="992">
        <f t="shared" ref="F426:F442" si="116">SUM(C426:E426)</f>
        <v>0</v>
      </c>
      <c r="G426" s="72"/>
    </row>
    <row r="427" spans="1:7">
      <c r="A427" s="988"/>
      <c r="B427" s="989" t="s">
        <v>92</v>
      </c>
      <c r="C427" s="993">
        <f>E144</f>
        <v>0</v>
      </c>
      <c r="D427" s="993">
        <f>F144</f>
        <v>0</v>
      </c>
      <c r="E427" s="993">
        <f>G144</f>
        <v>0</v>
      </c>
      <c r="F427" s="992">
        <f t="shared" si="116"/>
        <v>0</v>
      </c>
      <c r="G427" s="72"/>
    </row>
    <row r="428" spans="1:7">
      <c r="A428" s="988"/>
      <c r="B428" s="989" t="s">
        <v>85</v>
      </c>
      <c r="C428" s="993">
        <f>L160</f>
        <v>0</v>
      </c>
      <c r="D428" s="993">
        <f>M160</f>
        <v>0</v>
      </c>
      <c r="E428" s="993" t="s">
        <v>56</v>
      </c>
      <c r="F428" s="992">
        <f t="shared" si="116"/>
        <v>0</v>
      </c>
      <c r="G428" s="72"/>
    </row>
    <row r="429" spans="1:7">
      <c r="A429" s="988"/>
      <c r="B429" s="989" t="s">
        <v>597</v>
      </c>
      <c r="C429" s="993">
        <f>E175</f>
        <v>0</v>
      </c>
      <c r="D429" s="993">
        <f>F175</f>
        <v>0</v>
      </c>
      <c r="E429" s="993">
        <f>G175</f>
        <v>0</v>
      </c>
      <c r="F429" s="992">
        <f t="shared" si="116"/>
        <v>0</v>
      </c>
      <c r="G429" s="72"/>
    </row>
    <row r="430" spans="1:7">
      <c r="A430" s="995"/>
      <c r="B430" s="996" t="s">
        <v>83</v>
      </c>
      <c r="C430" s="993">
        <f>E190</f>
        <v>0</v>
      </c>
      <c r="D430" s="993">
        <f>F190</f>
        <v>0</v>
      </c>
      <c r="E430" s="993">
        <f>G190</f>
        <v>0</v>
      </c>
      <c r="F430" s="992">
        <f t="shared" si="116"/>
        <v>0</v>
      </c>
      <c r="G430" s="72"/>
    </row>
    <row r="431" spans="1:7">
      <c r="A431" s="988"/>
      <c r="B431" s="989" t="s">
        <v>598</v>
      </c>
      <c r="C431" s="993">
        <f>E205</f>
        <v>0</v>
      </c>
      <c r="D431" s="993">
        <f>F205</f>
        <v>0</v>
      </c>
      <c r="E431" s="993">
        <f>G205</f>
        <v>0</v>
      </c>
      <c r="F431" s="992">
        <f t="shared" si="116"/>
        <v>0</v>
      </c>
      <c r="G431" s="72"/>
    </row>
    <row r="432" spans="1:7">
      <c r="A432" s="995"/>
      <c r="B432" s="996" t="s">
        <v>76</v>
      </c>
      <c r="C432" s="993">
        <f>F219</f>
        <v>0</v>
      </c>
      <c r="D432" s="993">
        <f>G219</f>
        <v>0</v>
      </c>
      <c r="E432" s="993" t="s">
        <v>56</v>
      </c>
      <c r="F432" s="992">
        <f t="shared" si="116"/>
        <v>0</v>
      </c>
      <c r="G432" s="72"/>
    </row>
    <row r="433" spans="1:7">
      <c r="A433" s="995"/>
      <c r="B433" s="996" t="s">
        <v>58</v>
      </c>
      <c r="C433" s="993">
        <f>F233</f>
        <v>0</v>
      </c>
      <c r="D433" s="993">
        <f>G233</f>
        <v>0</v>
      </c>
      <c r="E433" s="993">
        <f>H233</f>
        <v>0</v>
      </c>
      <c r="F433" s="992">
        <f t="shared" si="116"/>
        <v>0</v>
      </c>
      <c r="G433" s="72"/>
    </row>
    <row r="434" spans="1:7">
      <c r="A434" s="995"/>
      <c r="B434" s="996" t="s">
        <v>59</v>
      </c>
      <c r="C434" s="993">
        <f>F247</f>
        <v>0</v>
      </c>
      <c r="D434" s="993">
        <f>G247</f>
        <v>0</v>
      </c>
      <c r="E434" s="993">
        <f>H247</f>
        <v>0</v>
      </c>
      <c r="F434" s="992">
        <f t="shared" si="116"/>
        <v>0</v>
      </c>
      <c r="G434" s="72"/>
    </row>
    <row r="435" spans="1:7">
      <c r="A435" s="995"/>
      <c r="B435" s="996" t="s">
        <v>511</v>
      </c>
      <c r="C435" s="993">
        <f>IF(G261="",0,G261)</f>
        <v>0</v>
      </c>
      <c r="D435" s="993">
        <f>IF(H261="",0,H261)</f>
        <v>0</v>
      </c>
      <c r="E435" s="993" t="s">
        <v>56</v>
      </c>
      <c r="F435" s="992">
        <f t="shared" si="116"/>
        <v>0</v>
      </c>
      <c r="G435" s="72"/>
    </row>
    <row r="436" spans="1:7">
      <c r="A436" s="995"/>
      <c r="B436" s="996" t="s">
        <v>34</v>
      </c>
      <c r="C436" s="993">
        <f>IF(H275="",0,H275)</f>
        <v>0</v>
      </c>
      <c r="D436" s="993">
        <f>IF(I275="",0,I275)</f>
        <v>0</v>
      </c>
      <c r="E436" s="993" t="s">
        <v>56</v>
      </c>
      <c r="F436" s="992">
        <f t="shared" si="116"/>
        <v>0</v>
      </c>
      <c r="G436" s="72"/>
    </row>
    <row r="437" spans="1:7">
      <c r="A437" s="995"/>
      <c r="B437" s="996" t="s">
        <v>66</v>
      </c>
      <c r="C437" s="993">
        <f>C303</f>
        <v>0</v>
      </c>
      <c r="D437" s="993">
        <f>D303</f>
        <v>0</v>
      </c>
      <c r="E437" s="993">
        <f>E303</f>
        <v>0</v>
      </c>
      <c r="F437" s="992">
        <f t="shared" si="116"/>
        <v>0</v>
      </c>
      <c r="G437" s="72"/>
    </row>
    <row r="438" spans="1:7">
      <c r="A438" s="995"/>
      <c r="B438" s="996" t="s">
        <v>55</v>
      </c>
      <c r="C438" s="993">
        <f>F318</f>
        <v>0</v>
      </c>
      <c r="D438" s="993">
        <f>G318</f>
        <v>0</v>
      </c>
      <c r="E438" s="993">
        <f>H318</f>
        <v>0</v>
      </c>
      <c r="F438" s="992">
        <f t="shared" si="116"/>
        <v>0</v>
      </c>
      <c r="G438" s="72"/>
    </row>
    <row r="439" spans="1:7" ht="15.75" thickBot="1">
      <c r="A439" s="997"/>
      <c r="B439" s="998" t="s">
        <v>230</v>
      </c>
      <c r="C439" s="999" t="str">
        <f>H335</f>
        <v/>
      </c>
      <c r="D439" s="999" t="str">
        <f>I335</f>
        <v/>
      </c>
      <c r="E439" s="999" t="s">
        <v>56</v>
      </c>
      <c r="F439" s="992">
        <f t="shared" si="116"/>
        <v>0</v>
      </c>
      <c r="G439" s="72"/>
    </row>
    <row r="440" spans="1:7">
      <c r="A440" s="1000"/>
      <c r="B440" s="1001" t="s">
        <v>110</v>
      </c>
      <c r="C440" s="1002">
        <f>SUM(C426:C439)</f>
        <v>0</v>
      </c>
      <c r="D440" s="1002">
        <f>SUM(D426:D439)</f>
        <v>0</v>
      </c>
      <c r="E440" s="1002">
        <f>SUM(E426:E439)</f>
        <v>0</v>
      </c>
      <c r="F440" s="1003">
        <f t="shared" si="116"/>
        <v>0</v>
      </c>
    </row>
    <row r="441" spans="1:7" ht="15.75" thickBot="1">
      <c r="A441" s="995"/>
      <c r="B441" s="996" t="s">
        <v>6</v>
      </c>
      <c r="C441" s="993">
        <f>L335</f>
        <v>0</v>
      </c>
      <c r="D441" s="993">
        <f>M335</f>
        <v>0</v>
      </c>
      <c r="E441" s="993">
        <f>N335</f>
        <v>0</v>
      </c>
      <c r="F441" s="1004">
        <f t="shared" si="116"/>
        <v>0</v>
      </c>
      <c r="G441" s="538" t="e">
        <f>(D38*E38/43560)</f>
        <v>#VALUE!</v>
      </c>
    </row>
    <row r="442" spans="1:7" ht="15.75" thickBot="1">
      <c r="A442" s="1005"/>
      <c r="B442" s="1006" t="s">
        <v>7</v>
      </c>
      <c r="C442" s="1007">
        <f>C440+C441</f>
        <v>0</v>
      </c>
      <c r="D442" s="1007">
        <f>D440+D441</f>
        <v>0</v>
      </c>
      <c r="E442" s="1007">
        <f>E440+E441</f>
        <v>0</v>
      </c>
      <c r="F442" s="1008">
        <f t="shared" si="116"/>
        <v>0</v>
      </c>
      <c r="G442" s="362" t="str">
        <f>IF(B38="","",F442/(D38*E38/43560))</f>
        <v/>
      </c>
    </row>
    <row r="443" spans="1:7" ht="15.75" thickBot="1">
      <c r="A443" s="72"/>
      <c r="B443" s="72"/>
      <c r="G443" s="72"/>
    </row>
    <row r="444" spans="1:7" ht="18.75" thickBot="1">
      <c r="A444" s="349" t="str">
        <f>B39</f>
        <v/>
      </c>
      <c r="B444" s="11"/>
      <c r="C444" s="356" t="s">
        <v>251</v>
      </c>
      <c r="D444" s="11"/>
      <c r="E444" s="11"/>
      <c r="F444" s="12"/>
    </row>
    <row r="445" spans="1:7">
      <c r="A445" s="1"/>
      <c r="B445" s="4"/>
      <c r="C445" s="3" t="s">
        <v>2</v>
      </c>
      <c r="D445" s="3" t="s">
        <v>3</v>
      </c>
      <c r="E445" s="3" t="s">
        <v>4</v>
      </c>
      <c r="F445" s="2" t="s">
        <v>5</v>
      </c>
    </row>
    <row r="446" spans="1:7">
      <c r="A446" s="988"/>
      <c r="B446" s="989" t="s">
        <v>54</v>
      </c>
      <c r="C446" s="990" t="s">
        <v>56</v>
      </c>
      <c r="D446" s="990">
        <f>G130</f>
        <v>0</v>
      </c>
      <c r="E446" s="990" t="s">
        <v>56</v>
      </c>
      <c r="F446" s="992">
        <f t="shared" ref="F446:F462" si="117">SUM(C446:E446)</f>
        <v>0</v>
      </c>
    </row>
    <row r="447" spans="1:7">
      <c r="A447" s="988"/>
      <c r="B447" s="989" t="s">
        <v>92</v>
      </c>
      <c r="C447" s="993">
        <f>E145</f>
        <v>0</v>
      </c>
      <c r="D447" s="993">
        <f>F145</f>
        <v>0</v>
      </c>
      <c r="E447" s="993">
        <f>G145</f>
        <v>0</v>
      </c>
      <c r="F447" s="992">
        <f t="shared" si="117"/>
        <v>0</v>
      </c>
    </row>
    <row r="448" spans="1:7">
      <c r="A448" s="988"/>
      <c r="B448" s="989" t="s">
        <v>85</v>
      </c>
      <c r="C448" s="993">
        <f>L161</f>
        <v>0</v>
      </c>
      <c r="D448" s="993">
        <f>M161</f>
        <v>0</v>
      </c>
      <c r="E448" s="993" t="s">
        <v>56</v>
      </c>
      <c r="F448" s="992">
        <f t="shared" si="117"/>
        <v>0</v>
      </c>
    </row>
    <row r="449" spans="1:9">
      <c r="A449" s="988"/>
      <c r="B449" s="989" t="s">
        <v>597</v>
      </c>
      <c r="C449" s="993">
        <f>E176</f>
        <v>0</v>
      </c>
      <c r="D449" s="993">
        <f>F176</f>
        <v>0</v>
      </c>
      <c r="E449" s="993">
        <f>G176</f>
        <v>0</v>
      </c>
      <c r="F449" s="992">
        <f t="shared" si="117"/>
        <v>0</v>
      </c>
    </row>
    <row r="450" spans="1:9">
      <c r="A450" s="995"/>
      <c r="B450" s="996" t="s">
        <v>83</v>
      </c>
      <c r="C450" s="993">
        <f>E191</f>
        <v>0</v>
      </c>
      <c r="D450" s="993">
        <f>F191</f>
        <v>0</v>
      </c>
      <c r="E450" s="993">
        <f>G191</f>
        <v>0</v>
      </c>
      <c r="F450" s="992">
        <f t="shared" si="117"/>
        <v>0</v>
      </c>
    </row>
    <row r="451" spans="1:9">
      <c r="A451" s="988"/>
      <c r="B451" s="989" t="s">
        <v>598</v>
      </c>
      <c r="C451" s="993">
        <f>E206</f>
        <v>0</v>
      </c>
      <c r="D451" s="993">
        <f>F206</f>
        <v>0</v>
      </c>
      <c r="E451" s="993">
        <f>G206</f>
        <v>0</v>
      </c>
      <c r="F451" s="992">
        <f t="shared" si="117"/>
        <v>0</v>
      </c>
    </row>
    <row r="452" spans="1:9">
      <c r="A452" s="995"/>
      <c r="B452" s="996" t="s">
        <v>76</v>
      </c>
      <c r="C452" s="993">
        <f>F220</f>
        <v>0</v>
      </c>
      <c r="D452" s="993">
        <f>G220</f>
        <v>0</v>
      </c>
      <c r="E452" s="993" t="s">
        <v>56</v>
      </c>
      <c r="F452" s="992">
        <f t="shared" si="117"/>
        <v>0</v>
      </c>
    </row>
    <row r="453" spans="1:9">
      <c r="A453" s="995"/>
      <c r="B453" s="996" t="s">
        <v>58</v>
      </c>
      <c r="C453" s="993">
        <f>F234</f>
        <v>0</v>
      </c>
      <c r="D453" s="993">
        <f>G234</f>
        <v>0</v>
      </c>
      <c r="E453" s="993">
        <f>H234</f>
        <v>0</v>
      </c>
      <c r="F453" s="992">
        <f t="shared" si="117"/>
        <v>0</v>
      </c>
    </row>
    <row r="454" spans="1:9">
      <c r="A454" s="995"/>
      <c r="B454" s="996" t="s">
        <v>59</v>
      </c>
      <c r="C454" s="993">
        <f>F248</f>
        <v>0</v>
      </c>
      <c r="D454" s="993">
        <f>G248</f>
        <v>0</v>
      </c>
      <c r="E454" s="993">
        <f>H248</f>
        <v>0</v>
      </c>
      <c r="F454" s="992">
        <f t="shared" si="117"/>
        <v>0</v>
      </c>
    </row>
    <row r="455" spans="1:9">
      <c r="A455" s="995"/>
      <c r="B455" s="996" t="s">
        <v>511</v>
      </c>
      <c r="C455" s="993">
        <f>IF(G262="",0,G262)</f>
        <v>0</v>
      </c>
      <c r="D455" s="993">
        <f>IF(H262="",0,H262)</f>
        <v>0</v>
      </c>
      <c r="E455" s="993" t="s">
        <v>56</v>
      </c>
      <c r="F455" s="992">
        <f t="shared" si="117"/>
        <v>0</v>
      </c>
    </row>
    <row r="456" spans="1:9">
      <c r="A456" s="995"/>
      <c r="B456" s="996" t="s">
        <v>34</v>
      </c>
      <c r="C456" s="993">
        <f>IF(H276="",0,H276)</f>
        <v>0</v>
      </c>
      <c r="D456" s="993">
        <f>IF(I276="",0,I276)</f>
        <v>0</v>
      </c>
      <c r="E456" s="993" t="s">
        <v>56</v>
      </c>
      <c r="F456" s="992">
        <f t="shared" si="117"/>
        <v>0</v>
      </c>
    </row>
    <row r="457" spans="1:9">
      <c r="A457" s="995"/>
      <c r="B457" s="996" t="s">
        <v>66</v>
      </c>
      <c r="C457" s="993">
        <f>C304</f>
        <v>0</v>
      </c>
      <c r="D457" s="993">
        <f>D304</f>
        <v>0</v>
      </c>
      <c r="E457" s="993">
        <f>E304</f>
        <v>0</v>
      </c>
      <c r="F457" s="992">
        <f t="shared" si="117"/>
        <v>0</v>
      </c>
    </row>
    <row r="458" spans="1:9">
      <c r="A458" s="995"/>
      <c r="B458" s="996" t="s">
        <v>55</v>
      </c>
      <c r="C458" s="993">
        <f>F319</f>
        <v>0</v>
      </c>
      <c r="D458" s="993">
        <f>G319</f>
        <v>0</v>
      </c>
      <c r="E458" s="993">
        <f>H319</f>
        <v>0</v>
      </c>
      <c r="F458" s="992">
        <f t="shared" si="117"/>
        <v>0</v>
      </c>
    </row>
    <row r="459" spans="1:9" ht="15.75" thickBot="1">
      <c r="A459" s="997"/>
      <c r="B459" s="998" t="s">
        <v>230</v>
      </c>
      <c r="C459" s="999" t="str">
        <f>H336</f>
        <v/>
      </c>
      <c r="D459" s="999" t="str">
        <f>I336</f>
        <v/>
      </c>
      <c r="E459" s="999" t="s">
        <v>56</v>
      </c>
      <c r="F459" s="992">
        <f t="shared" si="117"/>
        <v>0</v>
      </c>
    </row>
    <row r="460" spans="1:9">
      <c r="A460" s="1000"/>
      <c r="B460" s="1001" t="s">
        <v>110</v>
      </c>
      <c r="C460" s="1002">
        <f>SUM(C446:C459)</f>
        <v>0</v>
      </c>
      <c r="D460" s="1002">
        <f>SUM(D446:D459)</f>
        <v>0</v>
      </c>
      <c r="E460" s="1002">
        <f>SUM(E446:E459)</f>
        <v>0</v>
      </c>
      <c r="F460" s="1003">
        <f t="shared" si="117"/>
        <v>0</v>
      </c>
    </row>
    <row r="461" spans="1:9" ht="15.75" thickBot="1">
      <c r="A461" s="995"/>
      <c r="B461" s="996" t="s">
        <v>6</v>
      </c>
      <c r="C461" s="993">
        <f>L336</f>
        <v>0</v>
      </c>
      <c r="D461" s="993">
        <f>M336</f>
        <v>0</v>
      </c>
      <c r="E461" s="993">
        <f>N336</f>
        <v>0</v>
      </c>
      <c r="F461" s="1004">
        <f t="shared" si="117"/>
        <v>0</v>
      </c>
      <c r="G461" s="538" t="e">
        <f>(D39*E39/43560)</f>
        <v>#VALUE!</v>
      </c>
    </row>
    <row r="462" spans="1:9" ht="14.25" customHeight="1" thickBot="1">
      <c r="A462" s="1005"/>
      <c r="B462" s="1006" t="s">
        <v>7</v>
      </c>
      <c r="C462" s="1007">
        <f>C460+C461</f>
        <v>0</v>
      </c>
      <c r="D462" s="1007">
        <f>D460+D461</f>
        <v>0</v>
      </c>
      <c r="E462" s="1007">
        <f>E460+E461</f>
        <v>0</v>
      </c>
      <c r="F462" s="1008">
        <f t="shared" si="117"/>
        <v>0</v>
      </c>
      <c r="G462" s="362" t="str">
        <f>IF(B39="","",F462/(D39*E39/43560))</f>
        <v/>
      </c>
    </row>
    <row r="463" spans="1:9">
      <c r="A463" s="9"/>
      <c r="B463" s="9"/>
      <c r="C463" s="88"/>
      <c r="D463" s="71"/>
      <c r="E463" s="71"/>
      <c r="F463" s="72"/>
      <c r="G463" s="72"/>
      <c r="H463" s="72"/>
      <c r="I463" s="72"/>
    </row>
    <row r="464" spans="1:9">
      <c r="A464" s="9"/>
      <c r="B464" s="9"/>
    </row>
    <row r="465" spans="1:30" ht="16.5" customHeight="1">
      <c r="A465" s="9"/>
      <c r="B465" s="9"/>
      <c r="C465" s="88"/>
      <c r="D465" s="71"/>
      <c r="E465" s="71"/>
      <c r="F465" s="72"/>
      <c r="G465" s="72"/>
      <c r="H465" s="72"/>
      <c r="I465" s="72"/>
    </row>
    <row r="466" spans="1:30" ht="15.75" thickBot="1">
      <c r="B466" s="1103" t="s">
        <v>166</v>
      </c>
      <c r="C466" s="1103"/>
      <c r="D466" s="1103"/>
      <c r="E466" s="1103"/>
      <c r="F466" s="1103"/>
      <c r="G466" s="1103"/>
      <c r="H466" s="1103"/>
      <c r="I466" s="1103"/>
      <c r="J466" s="165"/>
      <c r="K466" s="164"/>
    </row>
    <row r="467" spans="1:30" ht="17.25" customHeight="1" thickBot="1">
      <c r="A467" s="1111" t="s">
        <v>168</v>
      </c>
      <c r="B467" s="1112"/>
      <c r="C467" s="1112"/>
      <c r="D467" s="1112"/>
      <c r="E467" s="1112"/>
      <c r="F467" s="1112"/>
      <c r="G467" s="1112"/>
      <c r="H467" s="1112"/>
      <c r="I467" s="1113"/>
      <c r="K467" s="164"/>
      <c r="L467" s="164"/>
      <c r="M467" s="369"/>
    </row>
    <row r="468" spans="1:30" ht="21.75" customHeight="1">
      <c r="A468" s="1104" t="s">
        <v>169</v>
      </c>
      <c r="B468" s="1115" t="s">
        <v>170</v>
      </c>
      <c r="C468" s="1115"/>
      <c r="D468" s="1115"/>
      <c r="E468" s="1115"/>
      <c r="F468" s="1115"/>
      <c r="G468" s="1115"/>
      <c r="H468" s="145"/>
      <c r="I468" s="316"/>
      <c r="K468" s="164"/>
      <c r="L468" s="164"/>
      <c r="M468" s="369"/>
    </row>
    <row r="469" spans="1:30" ht="26.25" customHeight="1" thickBot="1">
      <c r="A469" s="1105"/>
      <c r="B469" s="146">
        <v>0.4</v>
      </c>
      <c r="C469" s="147">
        <v>1</v>
      </c>
      <c r="D469" s="147">
        <v>2</v>
      </c>
      <c r="E469" s="147">
        <v>3</v>
      </c>
      <c r="F469" s="147">
        <v>4</v>
      </c>
      <c r="G469" s="148">
        <v>5</v>
      </c>
      <c r="H469" s="149" t="s">
        <v>159</v>
      </c>
      <c r="I469" s="317" t="s">
        <v>160</v>
      </c>
      <c r="K469" s="871"/>
      <c r="L469" s="872"/>
      <c r="M469" s="369"/>
    </row>
    <row r="470" spans="1:30">
      <c r="A470" s="150">
        <v>0</v>
      </c>
      <c r="B470" s="151">
        <v>1427</v>
      </c>
      <c r="C470" s="152">
        <v>3870</v>
      </c>
      <c r="D470" s="152"/>
      <c r="E470" s="152"/>
      <c r="F470" s="152"/>
      <c r="G470" s="153"/>
      <c r="H470" s="154">
        <v>3870</v>
      </c>
      <c r="I470" s="318">
        <v>1.0888</v>
      </c>
      <c r="K470" s="873"/>
      <c r="L470" s="430"/>
      <c r="M470" s="369"/>
    </row>
    <row r="471" spans="1:30">
      <c r="A471" s="155">
        <v>4</v>
      </c>
      <c r="B471" s="156">
        <v>1246</v>
      </c>
      <c r="C471" s="157">
        <v>3444</v>
      </c>
      <c r="D471" s="157">
        <v>7183</v>
      </c>
      <c r="E471" s="157"/>
      <c r="F471" s="157"/>
      <c r="G471" s="158"/>
      <c r="H471" s="159">
        <v>3400.1</v>
      </c>
      <c r="I471" s="157">
        <v>1.0894999999999999</v>
      </c>
      <c r="K471" s="873"/>
      <c r="L471" s="430"/>
      <c r="M471" s="369"/>
    </row>
    <row r="472" spans="1:30">
      <c r="A472" s="155">
        <v>6</v>
      </c>
      <c r="B472" s="156">
        <v>1017</v>
      </c>
      <c r="C472" s="157">
        <v>2755</v>
      </c>
      <c r="D472" s="157">
        <v>5740</v>
      </c>
      <c r="E472" s="157"/>
      <c r="F472" s="157"/>
      <c r="G472" s="158"/>
      <c r="H472" s="159">
        <v>2734.5</v>
      </c>
      <c r="I472" s="157">
        <v>1.0759000000000001</v>
      </c>
      <c r="K472" s="873"/>
      <c r="L472" s="430"/>
      <c r="M472" s="369"/>
    </row>
    <row r="473" spans="1:30">
      <c r="A473" s="155">
        <v>8</v>
      </c>
      <c r="B473" s="156">
        <v>820</v>
      </c>
      <c r="C473" s="157">
        <v>2230</v>
      </c>
      <c r="D473" s="157">
        <v>4592</v>
      </c>
      <c r="E473" s="157">
        <v>6954</v>
      </c>
      <c r="F473" s="157"/>
      <c r="G473" s="158"/>
      <c r="H473" s="159">
        <v>2191.3000000000002</v>
      </c>
      <c r="I473" s="157">
        <v>1.0613999999999999</v>
      </c>
      <c r="K473" s="873"/>
      <c r="L473" s="430"/>
      <c r="M473" s="369"/>
      <c r="P473" s="140"/>
    </row>
    <row r="474" spans="1:30">
      <c r="A474" s="155">
        <v>10</v>
      </c>
      <c r="B474" s="156">
        <v>722</v>
      </c>
      <c r="C474" s="157">
        <v>1870</v>
      </c>
      <c r="D474" s="157">
        <v>3870</v>
      </c>
      <c r="E474" s="157">
        <v>5838</v>
      </c>
      <c r="F474" s="157"/>
      <c r="G474" s="158"/>
      <c r="H474" s="159">
        <v>1872</v>
      </c>
      <c r="I474" s="157">
        <v>1.0390999999999999</v>
      </c>
      <c r="K474" s="873"/>
      <c r="L474" s="430"/>
      <c r="M474" s="369"/>
    </row>
    <row r="475" spans="1:30">
      <c r="A475" s="155">
        <v>15</v>
      </c>
      <c r="B475" s="156">
        <v>459</v>
      </c>
      <c r="C475" s="157">
        <v>1246</v>
      </c>
      <c r="D475" s="157">
        <v>2558</v>
      </c>
      <c r="E475" s="157">
        <v>3903</v>
      </c>
      <c r="F475" s="157">
        <v>5248</v>
      </c>
      <c r="G475" s="158">
        <v>6560</v>
      </c>
      <c r="H475" s="159">
        <v>1222.9000000000001</v>
      </c>
      <c r="I475" s="157">
        <v>1.0523</v>
      </c>
      <c r="K475" s="873"/>
      <c r="L475" s="430"/>
      <c r="M475" s="369"/>
      <c r="N475" s="297"/>
      <c r="O475" s="297"/>
      <c r="P475" s="297"/>
      <c r="Q475" s="297"/>
      <c r="R475" s="297"/>
      <c r="S475" s="297"/>
      <c r="T475" s="297"/>
    </row>
    <row r="476" spans="1:30" ht="15.75" thickBot="1">
      <c r="K476" s="873"/>
      <c r="L476" s="430"/>
      <c r="M476" s="369"/>
    </row>
    <row r="477" spans="1:30" ht="16.5" customHeight="1" thickBot="1">
      <c r="A477" s="1111" t="s">
        <v>172</v>
      </c>
      <c r="B477" s="1112"/>
      <c r="C477" s="1112"/>
      <c r="D477" s="1112"/>
      <c r="E477" s="1112"/>
      <c r="F477" s="1112"/>
      <c r="G477" s="1112"/>
      <c r="H477" s="1112"/>
      <c r="I477" s="1113"/>
      <c r="K477" s="873"/>
      <c r="L477" s="430"/>
      <c r="M477" s="369"/>
    </row>
    <row r="478" spans="1:30" ht="15.75" customHeight="1">
      <c r="A478" s="1104" t="s">
        <v>169</v>
      </c>
      <c r="B478" s="1115" t="s">
        <v>170</v>
      </c>
      <c r="C478" s="1115"/>
      <c r="D478" s="1115"/>
      <c r="E478" s="1115"/>
      <c r="F478" s="1115"/>
      <c r="G478" s="1115"/>
      <c r="H478" s="145"/>
      <c r="I478" s="316"/>
      <c r="K478" s="873"/>
      <c r="L478" s="164"/>
      <c r="M478" s="431"/>
      <c r="AB478" s="795"/>
      <c r="AC478" s="795"/>
      <c r="AD478" s="97"/>
    </row>
    <row r="479" spans="1:30" ht="24.75" customHeight="1" thickBot="1">
      <c r="A479" s="1105"/>
      <c r="B479" s="146">
        <v>0.4</v>
      </c>
      <c r="C479" s="147">
        <v>1</v>
      </c>
      <c r="D479" s="147">
        <v>2</v>
      </c>
      <c r="E479" s="147">
        <v>3</v>
      </c>
      <c r="F479" s="147">
        <v>4</v>
      </c>
      <c r="G479" s="148">
        <v>5</v>
      </c>
      <c r="H479" s="149" t="s">
        <v>159</v>
      </c>
      <c r="I479" s="317" t="s">
        <v>160</v>
      </c>
      <c r="K479" s="873"/>
      <c r="L479" s="164"/>
      <c r="M479" s="431"/>
      <c r="AB479" s="796"/>
      <c r="AC479" s="796"/>
    </row>
    <row r="480" spans="1:30">
      <c r="A480" s="150">
        <v>0</v>
      </c>
      <c r="B480" s="151">
        <v>1148</v>
      </c>
      <c r="C480" s="152">
        <v>3428</v>
      </c>
      <c r="D480" s="152">
        <v>7183</v>
      </c>
      <c r="E480" s="152"/>
      <c r="F480" s="152"/>
      <c r="G480" s="153"/>
      <c r="H480" s="154">
        <v>3316.3</v>
      </c>
      <c r="I480" s="318">
        <v>1.1422000000000001</v>
      </c>
      <c r="K480" s="873"/>
      <c r="L480" s="430"/>
      <c r="M480" s="431"/>
      <c r="AB480" s="797"/>
      <c r="AC480" s="797"/>
    </row>
    <row r="481" spans="1:13">
      <c r="A481" s="155">
        <v>2</v>
      </c>
      <c r="B481" s="156">
        <v>951</v>
      </c>
      <c r="C481" s="157">
        <v>2821</v>
      </c>
      <c r="D481" s="157">
        <v>5904</v>
      </c>
      <c r="E481" s="157"/>
      <c r="F481" s="157"/>
      <c r="G481" s="158"/>
      <c r="H481" s="159">
        <v>2733</v>
      </c>
      <c r="I481" s="157">
        <v>1.1372</v>
      </c>
      <c r="K481" s="873"/>
      <c r="L481" s="430"/>
      <c r="M481" s="431"/>
    </row>
    <row r="482" spans="1:13">
      <c r="A482" s="155">
        <v>4</v>
      </c>
      <c r="B482" s="156">
        <v>689</v>
      </c>
      <c r="C482" s="157">
        <v>1984</v>
      </c>
      <c r="D482" s="157">
        <v>4198</v>
      </c>
      <c r="E482" s="157">
        <v>6330</v>
      </c>
      <c r="F482" s="157"/>
      <c r="G482" s="158"/>
      <c r="H482" s="159">
        <v>1928.3</v>
      </c>
      <c r="I482" s="157">
        <v>1.1032999999999999</v>
      </c>
      <c r="K482" s="873"/>
      <c r="L482" s="430"/>
      <c r="M482" s="369"/>
    </row>
    <row r="483" spans="1:13">
      <c r="A483" s="155">
        <v>6</v>
      </c>
      <c r="B483" s="156">
        <v>508</v>
      </c>
      <c r="C483" s="157">
        <v>1427</v>
      </c>
      <c r="D483" s="157">
        <v>2952</v>
      </c>
      <c r="E483" s="157">
        <v>4510</v>
      </c>
      <c r="F483" s="157">
        <v>6002</v>
      </c>
      <c r="G483" s="158"/>
      <c r="H483" s="159">
        <v>1386.4</v>
      </c>
      <c r="I483" s="157">
        <v>1.0725</v>
      </c>
      <c r="K483" s="873"/>
      <c r="L483" s="430"/>
      <c r="M483" s="369"/>
    </row>
    <row r="484" spans="1:13">
      <c r="A484" s="155">
        <v>8</v>
      </c>
      <c r="B484" s="156">
        <v>394</v>
      </c>
      <c r="C484" s="157">
        <v>1082</v>
      </c>
      <c r="D484" s="157">
        <v>2263</v>
      </c>
      <c r="E484" s="157">
        <v>3411</v>
      </c>
      <c r="F484" s="157">
        <v>4592</v>
      </c>
      <c r="G484" s="158">
        <v>5740</v>
      </c>
      <c r="H484" s="159">
        <v>1061.8</v>
      </c>
      <c r="I484" s="157">
        <v>1.06</v>
      </c>
      <c r="K484" s="873"/>
      <c r="L484" s="430"/>
      <c r="M484" s="369"/>
    </row>
    <row r="485" spans="1:13">
      <c r="A485" s="155">
        <v>10</v>
      </c>
      <c r="B485" s="156">
        <v>328</v>
      </c>
      <c r="C485" s="157">
        <v>869</v>
      </c>
      <c r="D485" s="157">
        <v>1771</v>
      </c>
      <c r="E485" s="157">
        <v>2690</v>
      </c>
      <c r="F485" s="157">
        <v>3608</v>
      </c>
      <c r="G485" s="158">
        <v>4510</v>
      </c>
      <c r="H485" s="159">
        <v>857.82</v>
      </c>
      <c r="I485" s="157">
        <v>1.0373000000000001</v>
      </c>
      <c r="K485" s="873"/>
      <c r="L485" s="430"/>
      <c r="M485" s="369"/>
    </row>
    <row r="486" spans="1:13">
      <c r="A486" s="155">
        <v>15</v>
      </c>
      <c r="B486" s="156">
        <v>213</v>
      </c>
      <c r="C486" s="157">
        <v>574</v>
      </c>
      <c r="D486" s="157">
        <v>1181</v>
      </c>
      <c r="E486" s="157">
        <v>1804</v>
      </c>
      <c r="F486" s="157">
        <v>2394</v>
      </c>
      <c r="G486" s="158">
        <v>3018</v>
      </c>
      <c r="H486" s="159">
        <v>565</v>
      </c>
      <c r="I486" s="157">
        <v>1.0482</v>
      </c>
      <c r="K486" s="873"/>
      <c r="L486" s="430"/>
      <c r="M486" s="369"/>
    </row>
    <row r="487" spans="1:13">
      <c r="K487" s="432"/>
      <c r="L487" s="430"/>
      <c r="M487" s="369"/>
    </row>
    <row r="488" spans="1:13">
      <c r="K488" s="873"/>
      <c r="L488" s="430"/>
      <c r="M488" s="369"/>
    </row>
    <row r="489" spans="1:13" ht="15.75" thickBot="1">
      <c r="B489" s="1103" t="s">
        <v>167</v>
      </c>
      <c r="C489" s="1103"/>
      <c r="D489" s="1103"/>
      <c r="E489" s="1103"/>
      <c r="F489" s="1103"/>
      <c r="G489" s="1103"/>
      <c r="H489" s="1103"/>
      <c r="I489" s="1103"/>
      <c r="K489" s="873"/>
      <c r="L489" s="430"/>
      <c r="M489" s="369"/>
    </row>
    <row r="490" spans="1:13" ht="16.5" thickBot="1">
      <c r="A490" s="1111" t="s">
        <v>173</v>
      </c>
      <c r="B490" s="1112"/>
      <c r="C490" s="1112"/>
      <c r="D490" s="1112"/>
      <c r="E490" s="1112"/>
      <c r="F490" s="1112"/>
      <c r="G490" s="1112"/>
      <c r="H490" s="1112"/>
      <c r="I490" s="1113"/>
      <c r="K490" s="873"/>
      <c r="L490" s="164"/>
      <c r="M490" s="369"/>
    </row>
    <row r="491" spans="1:13" ht="15.75">
      <c r="A491" s="1104" t="s">
        <v>169</v>
      </c>
      <c r="B491" s="1115" t="s">
        <v>170</v>
      </c>
      <c r="C491" s="1115"/>
      <c r="D491" s="1115"/>
      <c r="E491" s="1115"/>
      <c r="F491" s="1115"/>
      <c r="G491" s="1115"/>
      <c r="H491" s="145"/>
      <c r="I491" s="316"/>
      <c r="K491" s="873"/>
      <c r="L491" s="164"/>
      <c r="M491" s="369"/>
    </row>
    <row r="492" spans="1:13" ht="15.75" thickBot="1">
      <c r="A492" s="1105"/>
      <c r="B492" s="146">
        <v>0.4</v>
      </c>
      <c r="C492" s="147">
        <v>1</v>
      </c>
      <c r="D492" s="147">
        <v>2</v>
      </c>
      <c r="E492" s="147">
        <v>3</v>
      </c>
      <c r="F492" s="147">
        <v>4</v>
      </c>
      <c r="G492" s="148">
        <v>5</v>
      </c>
      <c r="H492" s="149" t="s">
        <v>159</v>
      </c>
      <c r="I492" s="317" t="s">
        <v>160</v>
      </c>
      <c r="K492" s="873"/>
      <c r="L492" s="430"/>
      <c r="M492" s="369"/>
    </row>
    <row r="493" spans="1:13">
      <c r="A493" s="150">
        <v>0</v>
      </c>
      <c r="B493" s="151">
        <v>968</v>
      </c>
      <c r="C493" s="152">
        <v>3034</v>
      </c>
      <c r="D493" s="152">
        <v>6560</v>
      </c>
      <c r="E493" s="152"/>
      <c r="F493" s="152"/>
      <c r="G493" s="153"/>
      <c r="H493" s="154">
        <v>2929.3</v>
      </c>
      <c r="I493" s="318">
        <v>1.1919999999999999</v>
      </c>
      <c r="K493" s="873"/>
      <c r="L493" s="430"/>
      <c r="M493" s="369"/>
    </row>
    <row r="494" spans="1:13">
      <c r="A494" s="155">
        <v>4</v>
      </c>
      <c r="B494" s="156">
        <v>754</v>
      </c>
      <c r="C494" s="157">
        <v>2657</v>
      </c>
      <c r="D494" s="157">
        <v>6068</v>
      </c>
      <c r="E494" s="157"/>
      <c r="F494" s="157"/>
      <c r="G494" s="158"/>
      <c r="H494" s="159">
        <v>2532.8000000000002</v>
      </c>
      <c r="I494" s="157">
        <v>1.2999000000000001</v>
      </c>
      <c r="K494" s="873"/>
      <c r="L494" s="430"/>
      <c r="M494" s="369"/>
    </row>
    <row r="495" spans="1:13">
      <c r="A495" s="155">
        <v>6</v>
      </c>
      <c r="B495" s="156">
        <v>656</v>
      </c>
      <c r="C495" s="157">
        <v>2247</v>
      </c>
      <c r="D495" s="157">
        <v>5182</v>
      </c>
      <c r="E495" s="157"/>
      <c r="F495" s="157"/>
      <c r="G495" s="158"/>
      <c r="H495" s="159">
        <v>2167.3000000000002</v>
      </c>
      <c r="I495" s="157">
        <v>1.2873000000000001</v>
      </c>
      <c r="K495" s="873"/>
      <c r="L495" s="430"/>
      <c r="M495" s="369"/>
    </row>
    <row r="496" spans="1:13">
      <c r="A496" s="155">
        <v>8</v>
      </c>
      <c r="B496" s="156">
        <v>607</v>
      </c>
      <c r="C496" s="157">
        <v>1935</v>
      </c>
      <c r="D496" s="157">
        <v>4248</v>
      </c>
      <c r="E496" s="157">
        <v>6560</v>
      </c>
      <c r="F496" s="157"/>
      <c r="G496" s="158"/>
      <c r="H496" s="159">
        <v>1846.2</v>
      </c>
      <c r="I496" s="157">
        <v>1.1831</v>
      </c>
      <c r="K496" s="873"/>
      <c r="L496" s="430"/>
      <c r="M496" s="369"/>
    </row>
    <row r="497" spans="1:24">
      <c r="A497" s="155">
        <v>10</v>
      </c>
      <c r="B497" s="156">
        <v>525</v>
      </c>
      <c r="C497" s="157">
        <v>1607</v>
      </c>
      <c r="D497" s="157">
        <v>3378</v>
      </c>
      <c r="E497" s="157">
        <v>5215</v>
      </c>
      <c r="F497" s="157">
        <v>7282</v>
      </c>
      <c r="G497" s="158"/>
      <c r="H497" s="159">
        <v>1528.4</v>
      </c>
      <c r="I497" s="157">
        <v>1.1332</v>
      </c>
      <c r="K497" s="873"/>
      <c r="L497" s="430"/>
      <c r="M497" s="369"/>
    </row>
    <row r="498" spans="1:24">
      <c r="A498" s="155">
        <v>15</v>
      </c>
      <c r="B498" s="156">
        <v>410</v>
      </c>
      <c r="C498" s="157">
        <v>1197</v>
      </c>
      <c r="D498" s="157">
        <v>2460</v>
      </c>
      <c r="E498" s="157">
        <v>3706</v>
      </c>
      <c r="F498" s="157">
        <v>4986</v>
      </c>
      <c r="G498" s="158">
        <v>6232</v>
      </c>
      <c r="H498" s="159">
        <v>1139.7</v>
      </c>
      <c r="I498" s="157">
        <v>1.0720000000000001</v>
      </c>
      <c r="K498" s="873"/>
      <c r="L498" s="430"/>
      <c r="M498" s="369"/>
    </row>
    <row r="499" spans="1:24" ht="15.75" thickBot="1">
      <c r="K499" s="873"/>
      <c r="L499" s="430"/>
      <c r="M499" s="369"/>
      <c r="W499" s="68"/>
      <c r="X499" s="68"/>
    </row>
    <row r="500" spans="1:24" ht="16.5" customHeight="1" thickBot="1">
      <c r="A500" s="1111" t="s">
        <v>171</v>
      </c>
      <c r="B500" s="1112"/>
      <c r="C500" s="1112"/>
      <c r="D500" s="1112"/>
      <c r="E500" s="1112"/>
      <c r="F500" s="1112"/>
      <c r="G500" s="1112"/>
      <c r="H500" s="1112"/>
      <c r="I500" s="1113"/>
      <c r="K500" s="873"/>
      <c r="L500" s="430"/>
      <c r="M500" s="369"/>
      <c r="P500" s="374"/>
      <c r="Q500" s="319"/>
      <c r="R500" s="319"/>
      <c r="W500" s="68"/>
      <c r="X500" s="68"/>
    </row>
    <row r="501" spans="1:24" ht="15.75" customHeight="1">
      <c r="A501" s="1104" t="s">
        <v>169</v>
      </c>
      <c r="B501" s="1114" t="s">
        <v>170</v>
      </c>
      <c r="C501" s="1115"/>
      <c r="D501" s="1115"/>
      <c r="E501" s="1115"/>
      <c r="F501" s="1115"/>
      <c r="G501" s="1116"/>
      <c r="H501" s="145"/>
      <c r="I501" s="316"/>
      <c r="K501" s="873"/>
      <c r="L501" s="164"/>
      <c r="M501" s="369"/>
      <c r="P501" s="374"/>
      <c r="Q501" s="373"/>
      <c r="R501" s="319"/>
    </row>
    <row r="502" spans="1:24" ht="15.75" customHeight="1" thickBot="1">
      <c r="A502" s="1110"/>
      <c r="B502" s="146">
        <v>0.4</v>
      </c>
      <c r="C502" s="147">
        <v>1</v>
      </c>
      <c r="D502" s="147">
        <v>2</v>
      </c>
      <c r="E502" s="147">
        <v>3</v>
      </c>
      <c r="F502" s="147">
        <v>4</v>
      </c>
      <c r="G502" s="148">
        <v>5</v>
      </c>
      <c r="H502" s="149" t="s">
        <v>159</v>
      </c>
      <c r="I502" s="317" t="s">
        <v>160</v>
      </c>
      <c r="K502" s="873"/>
      <c r="L502" s="164"/>
      <c r="M502" s="369"/>
      <c r="P502" s="374"/>
      <c r="Q502" s="374"/>
      <c r="R502" s="379"/>
    </row>
    <row r="503" spans="1:24">
      <c r="A503" s="150">
        <v>0</v>
      </c>
      <c r="B503" s="151">
        <v>656</v>
      </c>
      <c r="C503" s="152">
        <v>2558</v>
      </c>
      <c r="D503" s="152">
        <v>6068</v>
      </c>
      <c r="E503" s="152"/>
      <c r="F503" s="152"/>
      <c r="G503" s="153"/>
      <c r="H503" s="154">
        <v>2403.1</v>
      </c>
      <c r="I503" s="318">
        <v>1.3875999999999999</v>
      </c>
      <c r="K503" s="873"/>
      <c r="L503" s="430"/>
      <c r="M503" s="369"/>
      <c r="P503" s="374"/>
      <c r="Q503" s="374"/>
      <c r="R503" s="374"/>
    </row>
    <row r="504" spans="1:24">
      <c r="A504" s="155">
        <v>4</v>
      </c>
      <c r="B504" s="156">
        <v>459</v>
      </c>
      <c r="C504" s="157">
        <v>1509</v>
      </c>
      <c r="D504" s="157">
        <v>3313</v>
      </c>
      <c r="E504" s="157">
        <v>5215</v>
      </c>
      <c r="F504" s="157">
        <v>7085</v>
      </c>
      <c r="G504" s="158"/>
      <c r="H504" s="159">
        <v>1412</v>
      </c>
      <c r="I504" s="157">
        <v>1.1862999999999999</v>
      </c>
      <c r="K504" s="873"/>
      <c r="L504" s="430"/>
      <c r="M504" s="369"/>
      <c r="P504" s="374"/>
      <c r="Q504" s="375"/>
      <c r="R504" s="375"/>
    </row>
    <row r="505" spans="1:24">
      <c r="A505" s="155">
        <v>6</v>
      </c>
      <c r="B505" s="156">
        <v>394</v>
      </c>
      <c r="C505" s="157">
        <v>1148</v>
      </c>
      <c r="D505" s="157">
        <v>2460</v>
      </c>
      <c r="E505" s="157">
        <v>3706</v>
      </c>
      <c r="F505" s="157">
        <v>5018</v>
      </c>
      <c r="G505" s="158">
        <v>6298</v>
      </c>
      <c r="H505" s="159">
        <v>1111</v>
      </c>
      <c r="I505" s="157">
        <v>1.0949</v>
      </c>
      <c r="K505" s="873"/>
      <c r="L505" s="430"/>
      <c r="M505" s="369"/>
      <c r="Q505" s="9"/>
      <c r="R505" s="9"/>
      <c r="V505" s="297"/>
    </row>
    <row r="506" spans="1:24" ht="15.75">
      <c r="A506" s="155">
        <v>8</v>
      </c>
      <c r="B506" s="156"/>
      <c r="C506" s="157">
        <v>918</v>
      </c>
      <c r="D506" s="157">
        <v>1886</v>
      </c>
      <c r="E506" s="157">
        <v>2837</v>
      </c>
      <c r="F506" s="157">
        <v>3772</v>
      </c>
      <c r="G506" s="158">
        <v>4756</v>
      </c>
      <c r="H506" s="159">
        <v>922.57</v>
      </c>
      <c r="I506" s="157">
        <v>1.0197000000000001</v>
      </c>
      <c r="K506" s="873"/>
      <c r="L506" s="430"/>
      <c r="M506" s="369"/>
      <c r="Q506" s="373"/>
      <c r="R506" s="373"/>
    </row>
    <row r="507" spans="1:24">
      <c r="A507" s="155">
        <v>10</v>
      </c>
      <c r="B507" s="156"/>
      <c r="C507" s="157">
        <v>722</v>
      </c>
      <c r="D507" s="157">
        <v>1443</v>
      </c>
      <c r="E507" s="157">
        <v>2165</v>
      </c>
      <c r="F507" s="157">
        <v>2919</v>
      </c>
      <c r="G507" s="158">
        <v>3608</v>
      </c>
      <c r="H507" s="159">
        <v>721.44</v>
      </c>
      <c r="I507" s="157">
        <v>1.0026999999999999</v>
      </c>
      <c r="K507" s="873"/>
      <c r="L507" s="430"/>
      <c r="M507" s="369"/>
      <c r="Q507" s="374"/>
      <c r="R507" s="374"/>
    </row>
    <row r="508" spans="1:24">
      <c r="A508" s="155">
        <v>15</v>
      </c>
      <c r="B508" s="156"/>
      <c r="C508" s="157">
        <v>525</v>
      </c>
      <c r="D508" s="157">
        <v>1017</v>
      </c>
      <c r="E508" s="157">
        <v>1558</v>
      </c>
      <c r="F508" s="157">
        <v>2034</v>
      </c>
      <c r="G508" s="158">
        <v>2591</v>
      </c>
      <c r="H508" s="159">
        <v>520.55999999999995</v>
      </c>
      <c r="I508" s="157">
        <v>0.99050000000000005</v>
      </c>
      <c r="K508" s="873"/>
      <c r="L508" s="430"/>
      <c r="M508" s="369"/>
      <c r="Q508" s="374"/>
      <c r="R508" s="375"/>
    </row>
    <row r="509" spans="1:24">
      <c r="A509" s="162"/>
      <c r="D509" s="140"/>
      <c r="E509" s="140"/>
      <c r="F509" s="140"/>
      <c r="G509" s="140"/>
      <c r="H509" s="140"/>
      <c r="I509" s="140"/>
      <c r="K509" s="163"/>
      <c r="Q509" s="375"/>
      <c r="R509" s="9"/>
    </row>
    <row r="510" spans="1:24">
      <c r="A510" s="162"/>
      <c r="B510" s="121"/>
      <c r="C510" s="121"/>
      <c r="D510" s="140"/>
      <c r="E510" s="140"/>
      <c r="F510" s="140"/>
      <c r="G510" s="140"/>
      <c r="H510" s="140"/>
      <c r="I510" s="140"/>
      <c r="K510" s="163"/>
      <c r="Q510" s="375"/>
      <c r="R510" s="9"/>
    </row>
    <row r="511" spans="1:24">
      <c r="A511" s="162"/>
      <c r="B511" s="258"/>
      <c r="C511" s="140"/>
      <c r="D511" s="140"/>
      <c r="E511" s="140"/>
      <c r="F511" s="140"/>
      <c r="G511" s="140"/>
      <c r="H511" s="140"/>
      <c r="I511" s="140"/>
      <c r="J511" s="163"/>
      <c r="K511" s="163"/>
    </row>
    <row r="512" spans="1:24" ht="15.75" thickBot="1">
      <c r="A512" s="162"/>
      <c r="B512" s="258"/>
      <c r="C512" s="140"/>
      <c r="D512" s="140"/>
      <c r="E512" s="140"/>
      <c r="F512" s="140"/>
      <c r="G512" s="140"/>
      <c r="H512" s="140"/>
      <c r="I512" s="140"/>
      <c r="J512" s="163"/>
      <c r="K512" s="163"/>
    </row>
    <row r="513" spans="1:16" ht="15.75" customHeight="1" thickBot="1">
      <c r="A513" s="162"/>
      <c r="B513" s="1169" t="s">
        <v>204</v>
      </c>
      <c r="C513" s="1170"/>
      <c r="D513" s="1170"/>
      <c r="E513" s="1170"/>
      <c r="F513" s="1170"/>
      <c r="G513" s="1170"/>
      <c r="H513" s="1170"/>
      <c r="I513" s="1170"/>
      <c r="J513" s="1170"/>
      <c r="K513" s="1170"/>
      <c r="L513" s="1171"/>
    </row>
    <row r="514" spans="1:16" ht="15.75" customHeight="1" thickBot="1">
      <c r="A514" s="162"/>
      <c r="B514" s="334"/>
      <c r="C514" s="1175" t="s">
        <v>178</v>
      </c>
      <c r="D514" s="1176"/>
      <c r="E514" s="1176"/>
      <c r="F514" s="1176"/>
      <c r="G514" s="1177"/>
      <c r="H514" s="1178" t="s">
        <v>175</v>
      </c>
      <c r="I514" s="1179"/>
      <c r="J514" s="1179"/>
      <c r="K514" s="1179"/>
      <c r="L514" s="1180"/>
    </row>
    <row r="515" spans="1:16" ht="27" thickBot="1">
      <c r="A515" s="162"/>
      <c r="B515" s="219" t="s">
        <v>205</v>
      </c>
      <c r="C515" s="221" t="s">
        <v>209</v>
      </c>
      <c r="D515" s="222">
        <v>20</v>
      </c>
      <c r="E515" s="222">
        <v>15</v>
      </c>
      <c r="F515" s="223">
        <v>10</v>
      </c>
      <c r="G515" s="223">
        <v>5</v>
      </c>
      <c r="H515" s="221" t="s">
        <v>209</v>
      </c>
      <c r="I515" s="222">
        <v>20</v>
      </c>
      <c r="J515" s="222">
        <v>15</v>
      </c>
      <c r="K515" s="223">
        <v>10</v>
      </c>
      <c r="L515" s="224">
        <v>5</v>
      </c>
    </row>
    <row r="516" spans="1:16">
      <c r="A516" s="162"/>
      <c r="B516" s="423" t="s">
        <v>132</v>
      </c>
      <c r="C516" s="227">
        <v>158651</v>
      </c>
      <c r="D516" s="228">
        <v>11</v>
      </c>
      <c r="E516" s="228">
        <v>11</v>
      </c>
      <c r="F516" s="229">
        <v>11</v>
      </c>
      <c r="G516" s="229">
        <v>20</v>
      </c>
      <c r="H516" s="230">
        <v>368803</v>
      </c>
      <c r="I516" s="152">
        <v>7</v>
      </c>
      <c r="J516" s="152">
        <v>7</v>
      </c>
      <c r="K516" s="152">
        <v>12</v>
      </c>
      <c r="L516" s="231">
        <v>21</v>
      </c>
    </row>
    <row r="517" spans="1:16">
      <c r="A517" s="162"/>
      <c r="B517" s="424" t="s">
        <v>163</v>
      </c>
      <c r="C517" s="227">
        <v>149006</v>
      </c>
      <c r="D517" s="228">
        <v>11</v>
      </c>
      <c r="E517" s="228">
        <v>11</v>
      </c>
      <c r="F517" s="234">
        <v>15</v>
      </c>
      <c r="G517" s="234">
        <v>26</v>
      </c>
      <c r="H517" s="235">
        <v>327263</v>
      </c>
      <c r="I517" s="157">
        <v>7</v>
      </c>
      <c r="J517" s="157">
        <v>9</v>
      </c>
      <c r="K517" s="157">
        <v>12</v>
      </c>
      <c r="L517" s="160">
        <v>29</v>
      </c>
    </row>
    <row r="518" spans="1:16">
      <c r="A518" s="162"/>
      <c r="B518" s="424" t="s">
        <v>43</v>
      </c>
      <c r="C518" s="227">
        <v>147991</v>
      </c>
      <c r="D518" s="228">
        <v>11</v>
      </c>
      <c r="E518" s="228">
        <v>11</v>
      </c>
      <c r="F518" s="234">
        <v>15</v>
      </c>
      <c r="G518" s="234">
        <v>26</v>
      </c>
      <c r="H518" s="235">
        <v>342083</v>
      </c>
      <c r="I518" s="157">
        <v>7</v>
      </c>
      <c r="J518" s="157">
        <v>9</v>
      </c>
      <c r="K518" s="157">
        <v>12</v>
      </c>
      <c r="L518" s="160">
        <v>29</v>
      </c>
    </row>
    <row r="519" spans="1:16">
      <c r="A519" s="162"/>
      <c r="B519" s="424" t="s">
        <v>133</v>
      </c>
      <c r="C519" s="227">
        <v>145326</v>
      </c>
      <c r="D519" s="228">
        <v>11</v>
      </c>
      <c r="E519" s="228">
        <v>11</v>
      </c>
      <c r="F519" s="234">
        <v>15</v>
      </c>
      <c r="G519" s="234">
        <v>26</v>
      </c>
      <c r="H519" s="235">
        <v>335403</v>
      </c>
      <c r="I519" s="157">
        <v>7</v>
      </c>
      <c r="J519" s="157">
        <v>9</v>
      </c>
      <c r="K519" s="157">
        <v>12</v>
      </c>
      <c r="L519" s="160">
        <v>29</v>
      </c>
    </row>
    <row r="520" spans="1:16">
      <c r="A520" s="162"/>
      <c r="B520" s="424" t="s">
        <v>161</v>
      </c>
      <c r="C520" s="227">
        <v>142661</v>
      </c>
      <c r="D520" s="228">
        <v>11</v>
      </c>
      <c r="E520" s="228">
        <v>11</v>
      </c>
      <c r="F520" s="234">
        <v>15</v>
      </c>
      <c r="G520" s="234">
        <v>26</v>
      </c>
      <c r="H520" s="235">
        <v>328723</v>
      </c>
      <c r="I520" s="157">
        <v>7</v>
      </c>
      <c r="J520" s="157">
        <v>9</v>
      </c>
      <c r="K520" s="157">
        <v>12</v>
      </c>
      <c r="L520" s="160">
        <v>29</v>
      </c>
    </row>
    <row r="521" spans="1:16">
      <c r="A521" s="162"/>
      <c r="B521" s="425" t="s">
        <v>162</v>
      </c>
      <c r="C521" s="227">
        <v>140306</v>
      </c>
      <c r="D521" s="228">
        <v>11</v>
      </c>
      <c r="E521" s="228">
        <v>11</v>
      </c>
      <c r="F521" s="234">
        <v>15</v>
      </c>
      <c r="G521" s="234">
        <v>26</v>
      </c>
      <c r="H521" s="235">
        <v>318563</v>
      </c>
      <c r="I521" s="157">
        <v>7</v>
      </c>
      <c r="J521" s="157">
        <v>9</v>
      </c>
      <c r="K521" s="157">
        <v>16</v>
      </c>
      <c r="L521" s="160">
        <v>29</v>
      </c>
    </row>
    <row r="522" spans="1:16">
      <c r="A522" s="162"/>
      <c r="B522" s="424" t="s">
        <v>135</v>
      </c>
      <c r="C522" s="227">
        <v>139996</v>
      </c>
      <c r="D522" s="228">
        <v>11</v>
      </c>
      <c r="E522" s="228">
        <v>11</v>
      </c>
      <c r="F522" s="234">
        <v>15</v>
      </c>
      <c r="G522" s="234">
        <v>26</v>
      </c>
      <c r="H522" s="235">
        <v>322043</v>
      </c>
      <c r="I522" s="157">
        <v>7</v>
      </c>
      <c r="J522" s="157">
        <v>9</v>
      </c>
      <c r="K522" s="157">
        <v>12</v>
      </c>
      <c r="L522" s="160">
        <v>29</v>
      </c>
    </row>
    <row r="523" spans="1:16">
      <c r="A523" s="162"/>
      <c r="B523" s="425" t="s">
        <v>210</v>
      </c>
      <c r="C523" s="227">
        <v>139996</v>
      </c>
      <c r="D523" s="228">
        <v>11</v>
      </c>
      <c r="E523" s="228">
        <v>11</v>
      </c>
      <c r="F523" s="234">
        <v>15</v>
      </c>
      <c r="G523" s="234">
        <v>26</v>
      </c>
      <c r="H523" s="235">
        <v>322043</v>
      </c>
      <c r="I523" s="157">
        <v>7</v>
      </c>
      <c r="J523" s="157">
        <v>9</v>
      </c>
      <c r="K523" s="157">
        <v>12</v>
      </c>
      <c r="L523" s="160">
        <v>29</v>
      </c>
    </row>
    <row r="524" spans="1:16">
      <c r="A524" s="162"/>
      <c r="B524" s="424" t="s">
        <v>30</v>
      </c>
      <c r="C524" s="227">
        <v>138663.5</v>
      </c>
      <c r="D524" s="228">
        <v>11</v>
      </c>
      <c r="E524" s="228">
        <v>11</v>
      </c>
      <c r="F524" s="234">
        <v>15</v>
      </c>
      <c r="G524" s="234">
        <v>26</v>
      </c>
      <c r="H524" s="235">
        <v>318703</v>
      </c>
      <c r="I524" s="157">
        <v>7</v>
      </c>
      <c r="J524" s="157">
        <v>9</v>
      </c>
      <c r="K524" s="157">
        <v>16</v>
      </c>
      <c r="L524" s="160">
        <v>29</v>
      </c>
    </row>
    <row r="525" spans="1:16">
      <c r="A525" s="162"/>
      <c r="B525" s="424" t="s">
        <v>134</v>
      </c>
      <c r="C525" s="227">
        <v>138663.5</v>
      </c>
      <c r="D525" s="228">
        <v>11</v>
      </c>
      <c r="E525" s="228">
        <v>11</v>
      </c>
      <c r="F525" s="234">
        <v>15</v>
      </c>
      <c r="G525" s="234">
        <v>26</v>
      </c>
      <c r="H525" s="235">
        <v>318703</v>
      </c>
      <c r="I525" s="157">
        <v>7</v>
      </c>
      <c r="J525" s="157">
        <v>9</v>
      </c>
      <c r="K525" s="157">
        <v>16</v>
      </c>
      <c r="L525" s="160">
        <v>29</v>
      </c>
    </row>
    <row r="526" spans="1:16">
      <c r="A526" s="162"/>
      <c r="B526" s="424" t="s">
        <v>100</v>
      </c>
      <c r="C526" s="227">
        <v>137331</v>
      </c>
      <c r="D526" s="228">
        <v>11</v>
      </c>
      <c r="E526" s="228">
        <v>11</v>
      </c>
      <c r="F526" s="234">
        <v>15</v>
      </c>
      <c r="G526" s="234">
        <v>26</v>
      </c>
      <c r="H526" s="235">
        <v>315363</v>
      </c>
      <c r="I526" s="157">
        <v>7</v>
      </c>
      <c r="J526" s="157">
        <v>9</v>
      </c>
      <c r="K526" s="157">
        <v>16</v>
      </c>
      <c r="L526" s="160">
        <v>29</v>
      </c>
      <c r="N526" s="315"/>
      <c r="O526" s="315"/>
      <c r="P526" s="315"/>
    </row>
    <row r="527" spans="1:16">
      <c r="A527" s="162"/>
      <c r="B527" s="426" t="s">
        <v>108</v>
      </c>
      <c r="C527" s="227">
        <v>126671</v>
      </c>
      <c r="D527" s="228">
        <v>11</v>
      </c>
      <c r="E527" s="228">
        <v>11</v>
      </c>
      <c r="F527" s="234">
        <v>15</v>
      </c>
      <c r="G527" s="234">
        <v>26</v>
      </c>
      <c r="H527" s="235">
        <v>288643</v>
      </c>
      <c r="I527" s="157">
        <v>7</v>
      </c>
      <c r="J527" s="157">
        <v>9</v>
      </c>
      <c r="K527" s="157">
        <v>16</v>
      </c>
      <c r="L527" s="160">
        <v>29</v>
      </c>
      <c r="M527" s="433"/>
      <c r="N527" s="874"/>
      <c r="O527" s="874"/>
      <c r="P527" s="315"/>
    </row>
    <row r="528" spans="1:16">
      <c r="A528" s="162"/>
      <c r="B528" s="426" t="s">
        <v>164</v>
      </c>
      <c r="C528" s="397">
        <v>113346</v>
      </c>
      <c r="D528" s="246">
        <v>11</v>
      </c>
      <c r="E528" s="246">
        <v>11</v>
      </c>
      <c r="F528" s="246">
        <v>15</v>
      </c>
      <c r="G528" s="399">
        <v>26</v>
      </c>
      <c r="H528" s="400">
        <v>255243</v>
      </c>
      <c r="I528" s="402">
        <v>9</v>
      </c>
      <c r="J528" s="404">
        <v>12</v>
      </c>
      <c r="K528" s="404">
        <v>16</v>
      </c>
      <c r="L528" s="405">
        <v>29</v>
      </c>
      <c r="M528" s="433"/>
      <c r="N528" s="874"/>
      <c r="O528" s="874"/>
      <c r="P528" s="315"/>
    </row>
    <row r="529" spans="1:18">
      <c r="A529" s="162"/>
      <c r="B529" s="424"/>
      <c r="C529" s="161"/>
      <c r="D529" s="241"/>
      <c r="E529" s="241"/>
      <c r="F529" s="241"/>
      <c r="G529" s="242"/>
      <c r="H529" s="243"/>
      <c r="I529" s="240"/>
      <c r="J529" s="241"/>
      <c r="K529" s="241"/>
      <c r="L529" s="242"/>
      <c r="M529" s="70"/>
      <c r="N529" s="874"/>
      <c r="O529" s="874"/>
      <c r="P529" s="315"/>
    </row>
    <row r="530" spans="1:18" ht="15.75" thickBot="1">
      <c r="A530" s="162"/>
      <c r="B530" s="427"/>
      <c r="C530" s="396"/>
      <c r="D530" s="241"/>
      <c r="E530" s="241"/>
      <c r="F530" s="398"/>
      <c r="G530" s="398"/>
      <c r="H530" s="401"/>
      <c r="I530" s="403"/>
      <c r="J530" s="403"/>
      <c r="K530" s="403"/>
      <c r="L530" s="406"/>
      <c r="M530" s="70"/>
      <c r="N530" s="163"/>
      <c r="O530" s="163"/>
    </row>
    <row r="531" spans="1:18" ht="15.75" thickBot="1">
      <c r="A531" s="162"/>
      <c r="B531" s="412"/>
      <c r="C531" s="247" t="s">
        <v>211</v>
      </c>
      <c r="D531" s="248">
        <v>15</v>
      </c>
      <c r="E531" s="248">
        <v>15</v>
      </c>
      <c r="F531" s="249">
        <v>26</v>
      </c>
      <c r="G531" s="249">
        <v>36</v>
      </c>
      <c r="H531" s="250" t="s">
        <v>211</v>
      </c>
      <c r="I531" s="251">
        <v>16</v>
      </c>
      <c r="J531" s="251">
        <v>16</v>
      </c>
      <c r="K531" s="251">
        <v>29</v>
      </c>
      <c r="L531" s="252">
        <v>39</v>
      </c>
    </row>
    <row r="532" spans="1:18">
      <c r="A532" s="162"/>
      <c r="B532" s="412"/>
      <c r="C532" s="131"/>
      <c r="D532" s="130"/>
      <c r="E532" s="130"/>
      <c r="F532" s="130"/>
      <c r="G532" s="130"/>
      <c r="H532" s="130"/>
      <c r="I532" s="130"/>
      <c r="J532" s="130"/>
      <c r="K532" s="130"/>
      <c r="L532" s="132"/>
    </row>
    <row r="533" spans="1:18" ht="15.75" thickBot="1">
      <c r="A533" s="162"/>
      <c r="B533" s="413"/>
      <c r="C533" s="109"/>
      <c r="D533" s="133"/>
      <c r="E533" s="133"/>
      <c r="F533" s="133"/>
      <c r="G533" s="133"/>
      <c r="H533" s="133"/>
      <c r="I533" s="133"/>
      <c r="J533" s="133"/>
      <c r="K533" s="133"/>
      <c r="L533" s="257" t="s">
        <v>202</v>
      </c>
    </row>
    <row r="534" spans="1:18">
      <c r="A534" s="162"/>
      <c r="B534" s="258"/>
      <c r="C534" s="140"/>
      <c r="D534" s="140"/>
      <c r="E534" s="140"/>
      <c r="F534" s="140"/>
      <c r="G534" s="140"/>
      <c r="H534" s="140"/>
      <c r="I534" s="140"/>
      <c r="J534" s="163"/>
      <c r="K534" s="163"/>
    </row>
    <row r="535" spans="1:18">
      <c r="A535" s="162"/>
      <c r="B535" s="258"/>
      <c r="C535" s="140"/>
      <c r="D535" s="140"/>
      <c r="E535" s="140"/>
      <c r="F535" s="140"/>
      <c r="G535" s="140"/>
      <c r="H535" s="140"/>
      <c r="I535" s="140"/>
      <c r="J535" s="163"/>
      <c r="K535" s="163"/>
    </row>
    <row r="536" spans="1:18">
      <c r="A536" s="162"/>
      <c r="B536" s="258"/>
      <c r="C536" s="140"/>
      <c r="D536" s="140"/>
      <c r="E536" s="140"/>
      <c r="F536" s="140"/>
      <c r="G536" s="140"/>
      <c r="H536" s="140"/>
      <c r="I536" s="140"/>
      <c r="J536" s="163"/>
      <c r="K536" s="163"/>
    </row>
    <row r="537" spans="1:18">
      <c r="B537" s="870" t="s">
        <v>591</v>
      </c>
    </row>
    <row r="541" spans="1:18">
      <c r="B541" s="624" t="s">
        <v>590</v>
      </c>
      <c r="C541" t="s">
        <v>575</v>
      </c>
      <c r="D541" t="s">
        <v>578</v>
      </c>
      <c r="E541" t="s">
        <v>577</v>
      </c>
      <c r="F541" s="842" t="s">
        <v>571</v>
      </c>
      <c r="G541" s="842" t="s">
        <v>572</v>
      </c>
      <c r="H541" s="842" t="s">
        <v>573</v>
      </c>
      <c r="I541" s="842" t="s">
        <v>574</v>
      </c>
      <c r="J541" s="842" t="s">
        <v>576</v>
      </c>
      <c r="K541" s="842" t="s">
        <v>579</v>
      </c>
      <c r="L541" s="842" t="s">
        <v>580</v>
      </c>
      <c r="M541" s="842" t="s">
        <v>581</v>
      </c>
      <c r="N541" s="842" t="s">
        <v>582</v>
      </c>
      <c r="O541" s="842" t="s">
        <v>583</v>
      </c>
      <c r="P541" s="842" t="s">
        <v>584</v>
      </c>
      <c r="Q541" s="842" t="s">
        <v>585</v>
      </c>
      <c r="R541" s="842" t="s">
        <v>586</v>
      </c>
    </row>
    <row r="542" spans="1:18">
      <c r="B542" s="844">
        <f t="shared" ref="B542:B547" si="118">E58</f>
        <v>0</v>
      </c>
      <c r="C542" s="434">
        <f t="shared" ref="C542:C547" si="119">ABS(F58)</f>
        <v>0</v>
      </c>
      <c r="D542" s="434">
        <f>ABS(C542)-0.025</f>
        <v>-2.5000000000000001E-2</v>
      </c>
      <c r="E542" s="434">
        <f>ABS(C542)+0.025</f>
        <v>2.5000000000000001E-2</v>
      </c>
      <c r="F542" s="847" t="e">
        <f t="shared" ref="F542:F547" si="120">ROUND(IF(D542=0,B554,IF(D542&lt;0.0500001,C554,IF(D542&lt;0.100000001,D554,IF(D542&lt;0.15000001,E554,IF(D542&lt;0.2,F554,IF(D542=0.2,F554,"")))))),2)</f>
        <v>#VALUE!</v>
      </c>
      <c r="G542" s="846" t="e">
        <f t="shared" ref="G542:G547" si="121">ROUND((IF(D542=0,P554,IF(D542&lt;0.0500001,Q554,IF(D542&lt;0.1000001,R554,IF(D542&lt;0.15000001,S554,IF(D542&lt;0.2,T554,IF(D542=0.2,T554,""))))))),2)</f>
        <v>#VALUE!</v>
      </c>
      <c r="H542" s="846" t="e">
        <f t="shared" ref="H542:H547" si="122">ROUND(IF(E542=0,V554,IF(E542&lt;0.04,V554,IF(E542&lt;0.06,W554,IF(E542&lt;0.08,X554,IF(E542&lt;0.1,Y554,IF(E542&lt;0.15,Z554,IF(E542=0.15,AA554,IF(E542&gt;0.15,AA554,"")))))))),2)</f>
        <v>#VALUE!</v>
      </c>
      <c r="I542" s="847" t="e">
        <f t="shared" ref="I542:I547" si="123">ROUND(IF(E542=0,H554,IF(E542&lt;0.02,H554,IF(E542&lt;0.04,I554,IF(E542&lt;0.06,J554,IF(E542&lt;0.08,K554,IF(E542&lt;0.1,L554,IF(E542&lt;0.15,M554,IF(E542=0.15,N554,IF(E542&gt;0.15,N554,""))))))))),2)</f>
        <v>#VALUE!</v>
      </c>
      <c r="J542" s="848" t="e">
        <f t="shared" ref="J542:J547" si="124">IF(F58&gt;0,(H542+G542),(I542+F542))</f>
        <v>#VALUE!</v>
      </c>
      <c r="K542" t="str">
        <f t="shared" ref="K542:K547" si="125">IF(D271="769D 988G D7R", C$613,IF(D271="777D 992G D7R",D$613,"Select Fleet"))</f>
        <v>Select Fleet</v>
      </c>
      <c r="L542" s="662" t="str">
        <f t="shared" ref="L542:L547" si="126">IF(D271="769D 988G D7R", D$594*D$595,IF(D271="777D 992G D7R",E$594*E$595,"Select Fleet"))</f>
        <v>Select Fleet</v>
      </c>
      <c r="M542" t="str">
        <f t="shared" ref="M542:M547" si="127">IF(D271="769D 988G D7R", C$614,IF(D271="777D 992G D7R",D$614,"Select Fleet"))</f>
        <v>Select Fleet</v>
      </c>
      <c r="N542" s="662" t="e">
        <f>K542+L542+M542+J542</f>
        <v>#VALUE!</v>
      </c>
      <c r="O542" t="e">
        <f t="shared" ref="O542:O547" si="128">IF(H58=0,ROUNDUP((N542-L542)/L542,0),H58)</f>
        <v>#VALUE!</v>
      </c>
      <c r="P542" t="e">
        <f t="shared" ref="P542:P547" si="129">ROUND(((IF(D271="769D 988G D7R",26.65,IF(D271="777D 992G D7R",66.8,"Select Fleet"))*60)/N542),0)</f>
        <v>#VALUE!</v>
      </c>
      <c r="Q542" t="e">
        <f>ROUND(P542*O542*0.83,0)</f>
        <v>#VALUE!</v>
      </c>
      <c r="R542" t="e">
        <f t="shared" ref="R542:R547" si="130">IF(ROUND(C271/Q542,0)&lt;1,1,ROUND(C271/Q542,0))</f>
        <v>#VALUE!</v>
      </c>
    </row>
    <row r="543" spans="1:18">
      <c r="B543" s="844">
        <f t="shared" si="118"/>
        <v>0</v>
      </c>
      <c r="C543" s="434">
        <f t="shared" si="119"/>
        <v>0</v>
      </c>
      <c r="D543" s="434">
        <f t="shared" ref="D543:D547" si="131">ABS(C543)-0.025</f>
        <v>-2.5000000000000001E-2</v>
      </c>
      <c r="E543" s="434">
        <f t="shared" ref="E543:E547" si="132">ABS(C543)+0.025</f>
        <v>2.5000000000000001E-2</v>
      </c>
      <c r="F543" s="847" t="e">
        <f t="shared" si="120"/>
        <v>#VALUE!</v>
      </c>
      <c r="G543" s="846" t="e">
        <f t="shared" si="121"/>
        <v>#VALUE!</v>
      </c>
      <c r="H543" s="846" t="e">
        <f t="shared" si="122"/>
        <v>#VALUE!</v>
      </c>
      <c r="I543" s="847" t="e">
        <f t="shared" si="123"/>
        <v>#VALUE!</v>
      </c>
      <c r="J543" s="848" t="e">
        <f t="shared" si="124"/>
        <v>#VALUE!</v>
      </c>
      <c r="K543" t="str">
        <f t="shared" si="125"/>
        <v>Select Fleet</v>
      </c>
      <c r="L543" s="662" t="str">
        <f t="shared" si="126"/>
        <v>Select Fleet</v>
      </c>
      <c r="M543" t="str">
        <f t="shared" si="127"/>
        <v>Select Fleet</v>
      </c>
      <c r="N543" s="662" t="e">
        <f t="shared" ref="N543:N547" si="133">K543+L543+M543+J543</f>
        <v>#VALUE!</v>
      </c>
      <c r="O543" t="e">
        <f t="shared" si="128"/>
        <v>#VALUE!</v>
      </c>
      <c r="P543" t="e">
        <f t="shared" si="129"/>
        <v>#VALUE!</v>
      </c>
      <c r="Q543" t="e">
        <f t="shared" ref="Q543:Q547" si="134">ROUND(P543*O543*0.83,0)</f>
        <v>#VALUE!</v>
      </c>
      <c r="R543" t="e">
        <f t="shared" si="130"/>
        <v>#VALUE!</v>
      </c>
    </row>
    <row r="544" spans="1:18">
      <c r="B544" s="844">
        <f t="shared" si="118"/>
        <v>0</v>
      </c>
      <c r="C544" s="434">
        <f t="shared" si="119"/>
        <v>0</v>
      </c>
      <c r="D544" s="434">
        <f t="shared" si="131"/>
        <v>-2.5000000000000001E-2</v>
      </c>
      <c r="E544" s="434">
        <f t="shared" si="132"/>
        <v>2.5000000000000001E-2</v>
      </c>
      <c r="F544" s="847" t="e">
        <f t="shared" si="120"/>
        <v>#VALUE!</v>
      </c>
      <c r="G544" s="846" t="e">
        <f t="shared" si="121"/>
        <v>#VALUE!</v>
      </c>
      <c r="H544" s="846" t="e">
        <f t="shared" si="122"/>
        <v>#VALUE!</v>
      </c>
      <c r="I544" s="847" t="e">
        <f t="shared" si="123"/>
        <v>#VALUE!</v>
      </c>
      <c r="J544" s="848" t="e">
        <f t="shared" si="124"/>
        <v>#VALUE!</v>
      </c>
      <c r="K544" t="str">
        <f t="shared" si="125"/>
        <v>Select Fleet</v>
      </c>
      <c r="L544" s="662" t="str">
        <f t="shared" si="126"/>
        <v>Select Fleet</v>
      </c>
      <c r="M544" t="str">
        <f t="shared" si="127"/>
        <v>Select Fleet</v>
      </c>
      <c r="N544" s="662" t="e">
        <f t="shared" si="133"/>
        <v>#VALUE!</v>
      </c>
      <c r="O544" t="e">
        <f t="shared" si="128"/>
        <v>#VALUE!</v>
      </c>
      <c r="P544" t="e">
        <f t="shared" si="129"/>
        <v>#VALUE!</v>
      </c>
      <c r="Q544" t="e">
        <f t="shared" si="134"/>
        <v>#VALUE!</v>
      </c>
      <c r="R544" t="e">
        <f t="shared" si="130"/>
        <v>#VALUE!</v>
      </c>
    </row>
    <row r="545" spans="1:27">
      <c r="B545" s="844">
        <f t="shared" si="118"/>
        <v>0</v>
      </c>
      <c r="C545" s="434">
        <f t="shared" si="119"/>
        <v>0</v>
      </c>
      <c r="D545" s="434">
        <f t="shared" si="131"/>
        <v>-2.5000000000000001E-2</v>
      </c>
      <c r="E545" s="434">
        <f t="shared" si="132"/>
        <v>2.5000000000000001E-2</v>
      </c>
      <c r="F545" s="847" t="e">
        <f t="shared" si="120"/>
        <v>#VALUE!</v>
      </c>
      <c r="G545" s="846" t="e">
        <f t="shared" si="121"/>
        <v>#VALUE!</v>
      </c>
      <c r="H545" s="846" t="e">
        <f t="shared" si="122"/>
        <v>#VALUE!</v>
      </c>
      <c r="I545" s="847" t="e">
        <f t="shared" si="123"/>
        <v>#VALUE!</v>
      </c>
      <c r="J545" s="848" t="e">
        <f t="shared" si="124"/>
        <v>#VALUE!</v>
      </c>
      <c r="K545" t="str">
        <f t="shared" si="125"/>
        <v>Select Fleet</v>
      </c>
      <c r="L545" s="662" t="str">
        <f t="shared" si="126"/>
        <v>Select Fleet</v>
      </c>
      <c r="M545" t="str">
        <f t="shared" si="127"/>
        <v>Select Fleet</v>
      </c>
      <c r="N545" s="662" t="e">
        <f t="shared" si="133"/>
        <v>#VALUE!</v>
      </c>
      <c r="O545" t="e">
        <f t="shared" si="128"/>
        <v>#VALUE!</v>
      </c>
      <c r="P545" t="e">
        <f t="shared" si="129"/>
        <v>#VALUE!</v>
      </c>
      <c r="Q545" t="e">
        <f t="shared" si="134"/>
        <v>#VALUE!</v>
      </c>
      <c r="R545" t="e">
        <f t="shared" si="130"/>
        <v>#VALUE!</v>
      </c>
    </row>
    <row r="546" spans="1:27">
      <c r="B546" s="844">
        <f t="shared" si="118"/>
        <v>0</v>
      </c>
      <c r="C546" s="434">
        <f t="shared" si="119"/>
        <v>0</v>
      </c>
      <c r="D546" s="434">
        <f t="shared" si="131"/>
        <v>-2.5000000000000001E-2</v>
      </c>
      <c r="E546" s="434">
        <f t="shared" si="132"/>
        <v>2.5000000000000001E-2</v>
      </c>
      <c r="F546" s="847" t="e">
        <f t="shared" si="120"/>
        <v>#VALUE!</v>
      </c>
      <c r="G546" s="846" t="e">
        <f t="shared" si="121"/>
        <v>#VALUE!</v>
      </c>
      <c r="H546" s="846" t="e">
        <f t="shared" si="122"/>
        <v>#VALUE!</v>
      </c>
      <c r="I546" s="847" t="e">
        <f t="shared" si="123"/>
        <v>#VALUE!</v>
      </c>
      <c r="J546" s="848" t="e">
        <f t="shared" si="124"/>
        <v>#VALUE!</v>
      </c>
      <c r="K546" t="str">
        <f t="shared" si="125"/>
        <v>Select Fleet</v>
      </c>
      <c r="L546" s="662" t="str">
        <f t="shared" si="126"/>
        <v>Select Fleet</v>
      </c>
      <c r="M546" t="str">
        <f t="shared" si="127"/>
        <v>Select Fleet</v>
      </c>
      <c r="N546" s="662" t="e">
        <f t="shared" si="133"/>
        <v>#VALUE!</v>
      </c>
      <c r="O546" t="e">
        <f t="shared" si="128"/>
        <v>#VALUE!</v>
      </c>
      <c r="P546" t="e">
        <f t="shared" si="129"/>
        <v>#VALUE!</v>
      </c>
      <c r="Q546" t="e">
        <f t="shared" si="134"/>
        <v>#VALUE!</v>
      </c>
      <c r="R546" t="e">
        <f t="shared" si="130"/>
        <v>#VALUE!</v>
      </c>
    </row>
    <row r="547" spans="1:27">
      <c r="B547" s="844">
        <f t="shared" si="118"/>
        <v>0</v>
      </c>
      <c r="C547" s="434">
        <f t="shared" si="119"/>
        <v>0</v>
      </c>
      <c r="D547" s="434">
        <f t="shared" si="131"/>
        <v>-2.5000000000000001E-2</v>
      </c>
      <c r="E547" s="434">
        <f t="shared" si="132"/>
        <v>2.5000000000000001E-2</v>
      </c>
      <c r="F547" s="847" t="e">
        <f t="shared" si="120"/>
        <v>#VALUE!</v>
      </c>
      <c r="G547" s="846" t="e">
        <f t="shared" si="121"/>
        <v>#VALUE!</v>
      </c>
      <c r="H547" s="846" t="e">
        <f t="shared" si="122"/>
        <v>#VALUE!</v>
      </c>
      <c r="I547" s="847" t="e">
        <f t="shared" si="123"/>
        <v>#VALUE!</v>
      </c>
      <c r="J547" s="848" t="e">
        <f t="shared" si="124"/>
        <v>#VALUE!</v>
      </c>
      <c r="K547" t="str">
        <f t="shared" si="125"/>
        <v>Select Fleet</v>
      </c>
      <c r="L547" s="662" t="str">
        <f t="shared" si="126"/>
        <v>Select Fleet</v>
      </c>
      <c r="M547" t="str">
        <f t="shared" si="127"/>
        <v>Select Fleet</v>
      </c>
      <c r="N547" s="662" t="e">
        <f t="shared" si="133"/>
        <v>#VALUE!</v>
      </c>
      <c r="O547" t="e">
        <f t="shared" si="128"/>
        <v>#VALUE!</v>
      </c>
      <c r="P547" t="e">
        <f t="shared" si="129"/>
        <v>#VALUE!</v>
      </c>
      <c r="Q547" t="e">
        <f t="shared" si="134"/>
        <v>#VALUE!</v>
      </c>
      <c r="R547" t="e">
        <f t="shared" si="130"/>
        <v>#VALUE!</v>
      </c>
    </row>
    <row r="548" spans="1:27">
      <c r="A548" s="162"/>
      <c r="B548" s="258"/>
      <c r="C548" s="140"/>
      <c r="D548" s="140"/>
      <c r="E548" s="140"/>
      <c r="F548" s="140"/>
      <c r="G548" s="140"/>
      <c r="H548" s="140"/>
      <c r="I548" s="140"/>
      <c r="J548" s="163"/>
      <c r="K548" s="163"/>
    </row>
    <row r="549" spans="1:27">
      <c r="A549" s="162"/>
      <c r="B549" s="870" t="s">
        <v>588</v>
      </c>
      <c r="F549" s="827"/>
      <c r="G549" s="827"/>
    </row>
    <row r="550" spans="1:27">
      <c r="A550" s="162"/>
      <c r="G550" s="827"/>
    </row>
    <row r="551" spans="1:27">
      <c r="A551" s="162"/>
      <c r="B551" s="831" t="s">
        <v>568</v>
      </c>
      <c r="C551" s="831"/>
      <c r="D551" s="831"/>
      <c r="E551" s="831"/>
      <c r="F551" s="831"/>
      <c r="G551" s="827"/>
      <c r="H551" s="837" t="s">
        <v>569</v>
      </c>
      <c r="I551" s="837"/>
      <c r="J551" s="837"/>
      <c r="K551" s="837"/>
      <c r="L551" s="837"/>
      <c r="M551" s="837"/>
      <c r="N551" s="827"/>
      <c r="P551" s="831" t="s">
        <v>592</v>
      </c>
      <c r="Q551" s="831"/>
      <c r="R551" s="831"/>
      <c r="S551" s="831"/>
      <c r="T551" s="831"/>
      <c r="V551" s="837" t="s">
        <v>570</v>
      </c>
      <c r="W551" s="837"/>
      <c r="X551" s="837"/>
      <c r="Y551" s="837"/>
      <c r="Z551" s="837"/>
      <c r="AA551" s="837"/>
    </row>
    <row r="552" spans="1:27">
      <c r="A552" s="162"/>
      <c r="B552" s="832">
        <v>0</v>
      </c>
      <c r="C552" s="832">
        <v>0.05</v>
      </c>
      <c r="D552" s="833">
        <v>0.1</v>
      </c>
      <c r="E552" s="834">
        <v>0.15</v>
      </c>
      <c r="F552" s="834">
        <v>0.2</v>
      </c>
      <c r="G552" s="827"/>
      <c r="H552" s="838">
        <v>0</v>
      </c>
      <c r="I552" s="838">
        <v>0.02</v>
      </c>
      <c r="J552" s="839">
        <v>0.04</v>
      </c>
      <c r="K552" s="840">
        <v>0.06</v>
      </c>
      <c r="L552" s="840">
        <v>0.08</v>
      </c>
      <c r="M552" s="840">
        <v>0.1</v>
      </c>
      <c r="N552" s="840">
        <v>0.15</v>
      </c>
      <c r="P552" s="832">
        <v>0</v>
      </c>
      <c r="Q552" s="834">
        <v>0.05</v>
      </c>
      <c r="R552" s="834">
        <v>0.1</v>
      </c>
      <c r="S552" s="834">
        <v>0.15</v>
      </c>
      <c r="T552" s="834">
        <v>0.2</v>
      </c>
      <c r="V552" s="838">
        <v>0</v>
      </c>
      <c r="W552" s="841">
        <v>0.04</v>
      </c>
      <c r="X552" s="841">
        <v>0.06</v>
      </c>
      <c r="Y552" s="841">
        <v>0.08</v>
      </c>
      <c r="Z552" s="841">
        <v>0.1</v>
      </c>
      <c r="AA552" s="841">
        <v>0.15</v>
      </c>
    </row>
    <row r="553" spans="1:27">
      <c r="A553" s="162"/>
      <c r="B553" s="827"/>
      <c r="C553" s="827"/>
      <c r="D553" s="827"/>
      <c r="E553" s="827"/>
      <c r="F553" s="827"/>
      <c r="G553" s="827"/>
      <c r="H553" s="830"/>
      <c r="I553" s="830"/>
      <c r="J553" s="830"/>
      <c r="K553" s="830"/>
      <c r="L553" s="830"/>
      <c r="M553" s="830"/>
      <c r="N553" s="830"/>
      <c r="P553" s="828"/>
      <c r="Q553" s="827"/>
      <c r="R553" s="827"/>
      <c r="S553" s="827"/>
      <c r="T553" s="827"/>
      <c r="V553" s="830"/>
      <c r="W553" s="830"/>
      <c r="X553" s="830"/>
      <c r="Y553" s="830"/>
      <c r="Z553" s="830"/>
      <c r="AA553" s="830"/>
    </row>
    <row r="554" spans="1:27">
      <c r="A554" s="162"/>
      <c r="B554" s="836" t="e">
        <f t="shared" ref="B554:B559" si="135">60*B542/5280/IF(D271="769D 988G D7R",G$531,IF(D271="777D 992G D7R",L$531,"Select Fleet"))</f>
        <v>#VALUE!</v>
      </c>
      <c r="C554" s="836" t="e">
        <f t="shared" ref="C554:C559" si="136">60*B542/5280/IF(D271="769D 988G D7R",G$531,IF(D271="777D 992G D7R",L$531,"Select Fleet"))</f>
        <v>#VALUE!</v>
      </c>
      <c r="D554" s="836" t="e">
        <f t="shared" ref="D554:D559" si="137">60*B542/5280/IF(D271="769D 988G D7R",F$531,IF(D271="777D 992G D7R",K$531,"Select Fleet"))</f>
        <v>#VALUE!</v>
      </c>
      <c r="E554" s="836" t="e">
        <f t="shared" ref="E554:E559" si="138">60*B542/5280/IF(D271="769D 988G D7R",E$531,IF(D271="777D 992G D7R",J$531,"Select Fleet"))</f>
        <v>#VALUE!</v>
      </c>
      <c r="F554" s="836" t="e">
        <f t="shared" ref="F554:F559" si="139">60*B542/5280/IF(D271="769D 988G D7R",D$531,IF(D271="777D 992G D7R",I$531,"Select Fleet"))</f>
        <v>#VALUE!</v>
      </c>
      <c r="G554" s="827"/>
      <c r="H554" s="836" t="e">
        <f t="shared" ref="H554:H559" si="140">(B542/IF(D271="769D 988G D7R",$H$480,IF(D271="777D 992G D7R",$H$503,"Select Fleet")))^(1/IF(D271="769D 988G D7R",$I$480,IF(D271="777D 992G D7R",$I$503,"Select Fleet")))</f>
        <v>#VALUE!</v>
      </c>
      <c r="I554" s="836" t="e">
        <f t="shared" ref="I554:I559" si="141">(B542/IF(D271="769D 988G D7R",$H$481,IF(D271="777D 992G D7R",$H$503,"Select Fleet")))^(1/IF(D271="769D 988G D7R",$I$481,IF(D271="777D 992G D7R",$I$503,"Select Fleet")))</f>
        <v>#VALUE!</v>
      </c>
      <c r="J554" s="836" t="e">
        <f t="shared" ref="J554:J559" si="142">(B542/IF(D271="769D 988G D7R",$H$482,IF(D271="777D 992G D7R",$H$504,"Select Fleet")))^(1/IF(D271="769D 988G D7R",$I$482,IF(D271="777D 992G D7R",$I$504,"Select Fleet")))</f>
        <v>#VALUE!</v>
      </c>
      <c r="K554" s="836" t="e">
        <f t="shared" ref="K554:K559" si="143">(B542/IF(D271="769D 988G D7R",$H$483,IF(D271="777D 992G D7R",$H$505,"Select Fleet")))^(1/IF(D271="769D 988G D7R",$I$483,IF(D271="777D 992G D7R",$I$505,"Select Fleet")))</f>
        <v>#VALUE!</v>
      </c>
      <c r="L554" s="836" t="e">
        <f t="shared" ref="L554:L559" si="144">(B542/IF(D271="769D 988G D7R",$H$484,IF(D271="777D 992G D7R",$H$506,"Select Fleet")))^(1/IF(D271="769D 988G D7R",$I$484,IF(D271="777D 992G D7R",$I$506,"Select Fleet")))</f>
        <v>#VALUE!</v>
      </c>
      <c r="M554" s="836" t="e">
        <f t="shared" ref="M554:M559" si="145">(B542/IF(D271="769D 988G D7R",$H$485,IF(D271="777D 992G D7R",$H$507,"Select Fleet")))^(1/IF(D271="769D 988G D7R",$I$485,IF(D271="777D 992G D7R",$I$507,"Select Fleet")))</f>
        <v>#VALUE!</v>
      </c>
      <c r="N554" s="836" t="e">
        <f t="shared" ref="N554:N559" si="146">(B542/IF(D271="769D 988G D7R",$H$486,IF(D271="777D 992G D7R",$H$508,"Select Fleet")))^(1/IF(D271="769D 988G D7R",$I$486,IF(D271="777D 992G D7R",$I$508,"Select Fleet")))</f>
        <v>#VALUE!</v>
      </c>
      <c r="P554" s="836" t="e">
        <f t="shared" ref="P554:P559" si="147">60*B542/5280/IF(D271="769D 988G D7R",G$524,IF(D271="777D 992G D7R",L$524,"Select Fleet"))</f>
        <v>#VALUE!</v>
      </c>
      <c r="Q554" s="836" t="e">
        <f t="shared" ref="Q554:Q559" si="148">60*B542/5280/IF(D271="769D 988G D7R",G$524,IF(D271="777D 992G D7R",L$524,"Select Fleet"))</f>
        <v>#VALUE!</v>
      </c>
      <c r="R554" s="836" t="e">
        <f t="shared" ref="R554:R559" si="149">60*B542/5280/IF(D271="769D 988G D7R",F$524,IF(D271="777D 992G D7R",K$524,"Select Fleet"))</f>
        <v>#VALUE!</v>
      </c>
      <c r="S554" s="836" t="e">
        <f t="shared" ref="S554:S559" si="150">60*B542/5280/IF(D271="769D 988G D7R",E$524,IF(D271="777D 992G D7R",J$524,"Select Fleet"))</f>
        <v>#VALUE!</v>
      </c>
      <c r="T554" s="836" t="e">
        <f t="shared" ref="T554:T559" si="151">60*B542/5280/IF(D271="769D 988G D7R",D$524,IF(D271="777D 992G D7R",I$524,"Select Fleet"))</f>
        <v>#VALUE!</v>
      </c>
      <c r="V554" s="836" t="e">
        <f t="shared" ref="V554:V559" si="152">(B542/IF(D271="769D 988G D7R",$H$470,IF(D271="777D 992G D7R",$H$493,"Select Fleet")))^(1/IF(D271="769D 988G D7R",$I$470,IF(D271="777D 992G D7R",$I$493,"Select Fleet")))</f>
        <v>#VALUE!</v>
      </c>
      <c r="W554" s="836" t="e">
        <f t="shared" ref="W554:W559" si="153">(B542/IF(D271="769D 988G D7R",$H$471,IF(D271="777D 992G D7R",$H$494,"Select Fleet")))^(1/IF(D271="769D 988G D7R",$I$471,IF(D271="777D 992G D7R",$I$494,"Select Fleet")))</f>
        <v>#VALUE!</v>
      </c>
      <c r="X554" s="836" t="e">
        <f t="shared" ref="X554:X559" si="154">(B542/IF(D271="769D 988G D7R",$H$472,IF(D271="777D 992G D7R",$H$495,"Select Fleet")))^(1/IF(D271="769D 988G D7R",$I$472,IF(D271="777D 992G D7R",$I$495,"Select Fleet")))</f>
        <v>#VALUE!</v>
      </c>
      <c r="Y554" s="836" t="e">
        <f t="shared" ref="Y554:Y559" si="155">(B542/IF(D271="769D 988G D7R",$H$473,IF(D271="777D 992G D7R",$H$496,"Select Fleet")))^(1/IF(D271="769D 988G D7R",$I$473,IF(D271="777D 992G D7R",$I$496,"Select Fleet")))</f>
        <v>#VALUE!</v>
      </c>
      <c r="Z554" s="836" t="e">
        <f t="shared" ref="Z554:Z559" si="156">(B542/IF(D271="769D 988G D7R",$H$474,IF(D271="777D 992G D7R",$H$497,"Select Fleet")))^(1/IF(D271="769D 988G D7R",$I$474,IF(D271="777D 992G D7R",$I$497,"Select Fleet")))</f>
        <v>#VALUE!</v>
      </c>
      <c r="AA554" s="836" t="e">
        <f t="shared" ref="AA554:AA559" si="157">(B542/IF(D271="769D 988G D7R",$H$475,IF(D271="777D 992G D7R",$H$498,"Select Fleet")))^(1/IF(D271="769D 988G D7R",$I$475,IF(D271="777D 992G D7R",$I$498,"Select Fleet")))</f>
        <v>#VALUE!</v>
      </c>
    </row>
    <row r="555" spans="1:27">
      <c r="A555" s="162"/>
      <c r="B555" s="836" t="e">
        <f t="shared" si="135"/>
        <v>#VALUE!</v>
      </c>
      <c r="C555" s="836" t="e">
        <f t="shared" si="136"/>
        <v>#VALUE!</v>
      </c>
      <c r="D555" s="836" t="e">
        <f t="shared" si="137"/>
        <v>#VALUE!</v>
      </c>
      <c r="E555" s="836" t="e">
        <f t="shared" si="138"/>
        <v>#VALUE!</v>
      </c>
      <c r="F555" s="836" t="e">
        <f t="shared" si="139"/>
        <v>#VALUE!</v>
      </c>
      <c r="G555" s="827"/>
      <c r="H555" s="836" t="e">
        <f t="shared" si="140"/>
        <v>#VALUE!</v>
      </c>
      <c r="I555" s="836" t="e">
        <f t="shared" si="141"/>
        <v>#VALUE!</v>
      </c>
      <c r="J555" s="836" t="e">
        <f t="shared" si="142"/>
        <v>#VALUE!</v>
      </c>
      <c r="K555" s="836" t="e">
        <f t="shared" si="143"/>
        <v>#VALUE!</v>
      </c>
      <c r="L555" s="836" t="e">
        <f t="shared" si="144"/>
        <v>#VALUE!</v>
      </c>
      <c r="M555" s="836" t="e">
        <f t="shared" si="145"/>
        <v>#VALUE!</v>
      </c>
      <c r="N555" s="836" t="e">
        <f t="shared" si="146"/>
        <v>#VALUE!</v>
      </c>
      <c r="P555" s="836" t="e">
        <f t="shared" si="147"/>
        <v>#VALUE!</v>
      </c>
      <c r="Q555" s="836" t="e">
        <f t="shared" si="148"/>
        <v>#VALUE!</v>
      </c>
      <c r="R555" s="836" t="e">
        <f t="shared" si="149"/>
        <v>#VALUE!</v>
      </c>
      <c r="S555" s="836" t="e">
        <f t="shared" si="150"/>
        <v>#VALUE!</v>
      </c>
      <c r="T555" s="836" t="e">
        <f t="shared" si="151"/>
        <v>#VALUE!</v>
      </c>
      <c r="V555" s="836" t="e">
        <f t="shared" si="152"/>
        <v>#VALUE!</v>
      </c>
      <c r="W555" s="836" t="e">
        <f t="shared" si="153"/>
        <v>#VALUE!</v>
      </c>
      <c r="X555" s="836" t="e">
        <f t="shared" si="154"/>
        <v>#VALUE!</v>
      </c>
      <c r="Y555" s="836" t="e">
        <f t="shared" si="155"/>
        <v>#VALUE!</v>
      </c>
      <c r="Z555" s="836" t="e">
        <f t="shared" si="156"/>
        <v>#VALUE!</v>
      </c>
      <c r="AA555" s="836" t="e">
        <f t="shared" si="157"/>
        <v>#VALUE!</v>
      </c>
    </row>
    <row r="556" spans="1:27">
      <c r="A556" s="162"/>
      <c r="B556" s="836" t="e">
        <f t="shared" si="135"/>
        <v>#VALUE!</v>
      </c>
      <c r="C556" s="836" t="e">
        <f t="shared" si="136"/>
        <v>#VALUE!</v>
      </c>
      <c r="D556" s="836" t="e">
        <f t="shared" si="137"/>
        <v>#VALUE!</v>
      </c>
      <c r="E556" s="836" t="e">
        <f t="shared" si="138"/>
        <v>#VALUE!</v>
      </c>
      <c r="F556" s="836" t="e">
        <f t="shared" si="139"/>
        <v>#VALUE!</v>
      </c>
      <c r="G556" s="827"/>
      <c r="H556" s="836" t="e">
        <f t="shared" si="140"/>
        <v>#VALUE!</v>
      </c>
      <c r="I556" s="836" t="e">
        <f t="shared" si="141"/>
        <v>#VALUE!</v>
      </c>
      <c r="J556" s="836" t="e">
        <f t="shared" si="142"/>
        <v>#VALUE!</v>
      </c>
      <c r="K556" s="836" t="e">
        <f t="shared" si="143"/>
        <v>#VALUE!</v>
      </c>
      <c r="L556" s="836" t="e">
        <f t="shared" si="144"/>
        <v>#VALUE!</v>
      </c>
      <c r="M556" s="836" t="e">
        <f t="shared" si="145"/>
        <v>#VALUE!</v>
      </c>
      <c r="N556" s="836" t="e">
        <f t="shared" si="146"/>
        <v>#VALUE!</v>
      </c>
      <c r="P556" s="836" t="e">
        <f t="shared" si="147"/>
        <v>#VALUE!</v>
      </c>
      <c r="Q556" s="836" t="e">
        <f t="shared" si="148"/>
        <v>#VALUE!</v>
      </c>
      <c r="R556" s="836" t="e">
        <f t="shared" si="149"/>
        <v>#VALUE!</v>
      </c>
      <c r="S556" s="836" t="e">
        <f t="shared" si="150"/>
        <v>#VALUE!</v>
      </c>
      <c r="T556" s="836" t="e">
        <f t="shared" si="151"/>
        <v>#VALUE!</v>
      </c>
      <c r="V556" s="836" t="e">
        <f t="shared" si="152"/>
        <v>#VALUE!</v>
      </c>
      <c r="W556" s="836" t="e">
        <f t="shared" si="153"/>
        <v>#VALUE!</v>
      </c>
      <c r="X556" s="836" t="e">
        <f t="shared" si="154"/>
        <v>#VALUE!</v>
      </c>
      <c r="Y556" s="836" t="e">
        <f t="shared" si="155"/>
        <v>#VALUE!</v>
      </c>
      <c r="Z556" s="836" t="e">
        <f t="shared" si="156"/>
        <v>#VALUE!</v>
      </c>
      <c r="AA556" s="836" t="e">
        <f t="shared" si="157"/>
        <v>#VALUE!</v>
      </c>
    </row>
    <row r="557" spans="1:27">
      <c r="A557" s="162"/>
      <c r="B557" s="836" t="e">
        <f t="shared" si="135"/>
        <v>#VALUE!</v>
      </c>
      <c r="C557" s="836" t="e">
        <f t="shared" si="136"/>
        <v>#VALUE!</v>
      </c>
      <c r="D557" s="836" t="e">
        <f t="shared" si="137"/>
        <v>#VALUE!</v>
      </c>
      <c r="E557" s="836" t="e">
        <f t="shared" si="138"/>
        <v>#VALUE!</v>
      </c>
      <c r="F557" s="836" t="e">
        <f t="shared" si="139"/>
        <v>#VALUE!</v>
      </c>
      <c r="G557" s="827"/>
      <c r="H557" s="836" t="e">
        <f t="shared" si="140"/>
        <v>#VALUE!</v>
      </c>
      <c r="I557" s="836" t="e">
        <f t="shared" si="141"/>
        <v>#VALUE!</v>
      </c>
      <c r="J557" s="836" t="e">
        <f t="shared" si="142"/>
        <v>#VALUE!</v>
      </c>
      <c r="K557" s="836" t="e">
        <f t="shared" si="143"/>
        <v>#VALUE!</v>
      </c>
      <c r="L557" s="836" t="e">
        <f t="shared" si="144"/>
        <v>#VALUE!</v>
      </c>
      <c r="M557" s="836" t="e">
        <f t="shared" si="145"/>
        <v>#VALUE!</v>
      </c>
      <c r="N557" s="836" t="e">
        <f t="shared" si="146"/>
        <v>#VALUE!</v>
      </c>
      <c r="P557" s="836" t="e">
        <f t="shared" si="147"/>
        <v>#VALUE!</v>
      </c>
      <c r="Q557" s="836" t="e">
        <f t="shared" si="148"/>
        <v>#VALUE!</v>
      </c>
      <c r="R557" s="836" t="e">
        <f t="shared" si="149"/>
        <v>#VALUE!</v>
      </c>
      <c r="S557" s="836" t="e">
        <f t="shared" si="150"/>
        <v>#VALUE!</v>
      </c>
      <c r="T557" s="836" t="e">
        <f t="shared" si="151"/>
        <v>#VALUE!</v>
      </c>
      <c r="V557" s="836" t="e">
        <f t="shared" si="152"/>
        <v>#VALUE!</v>
      </c>
      <c r="W557" s="836" t="e">
        <f t="shared" si="153"/>
        <v>#VALUE!</v>
      </c>
      <c r="X557" s="836" t="e">
        <f t="shared" si="154"/>
        <v>#VALUE!</v>
      </c>
      <c r="Y557" s="836" t="e">
        <f t="shared" si="155"/>
        <v>#VALUE!</v>
      </c>
      <c r="Z557" s="836" t="e">
        <f t="shared" si="156"/>
        <v>#VALUE!</v>
      </c>
      <c r="AA557" s="836" t="e">
        <f t="shared" si="157"/>
        <v>#VALUE!</v>
      </c>
    </row>
    <row r="558" spans="1:27">
      <c r="A558" s="162"/>
      <c r="B558" s="836" t="e">
        <f t="shared" si="135"/>
        <v>#VALUE!</v>
      </c>
      <c r="C558" s="836" t="e">
        <f t="shared" si="136"/>
        <v>#VALUE!</v>
      </c>
      <c r="D558" s="836" t="e">
        <f t="shared" si="137"/>
        <v>#VALUE!</v>
      </c>
      <c r="E558" s="836" t="e">
        <f t="shared" si="138"/>
        <v>#VALUE!</v>
      </c>
      <c r="F558" s="836" t="e">
        <f t="shared" si="139"/>
        <v>#VALUE!</v>
      </c>
      <c r="G558" s="827"/>
      <c r="H558" s="836" t="e">
        <f t="shared" si="140"/>
        <v>#VALUE!</v>
      </c>
      <c r="I558" s="836" t="e">
        <f t="shared" si="141"/>
        <v>#VALUE!</v>
      </c>
      <c r="J558" s="836" t="e">
        <f t="shared" si="142"/>
        <v>#VALUE!</v>
      </c>
      <c r="K558" s="836" t="e">
        <f t="shared" si="143"/>
        <v>#VALUE!</v>
      </c>
      <c r="L558" s="836" t="e">
        <f t="shared" si="144"/>
        <v>#VALUE!</v>
      </c>
      <c r="M558" s="836" t="e">
        <f t="shared" si="145"/>
        <v>#VALUE!</v>
      </c>
      <c r="N558" s="836" t="e">
        <f t="shared" si="146"/>
        <v>#VALUE!</v>
      </c>
      <c r="P558" s="836" t="e">
        <f t="shared" si="147"/>
        <v>#VALUE!</v>
      </c>
      <c r="Q558" s="836" t="e">
        <f t="shared" si="148"/>
        <v>#VALUE!</v>
      </c>
      <c r="R558" s="836" t="e">
        <f t="shared" si="149"/>
        <v>#VALUE!</v>
      </c>
      <c r="S558" s="836" t="e">
        <f t="shared" si="150"/>
        <v>#VALUE!</v>
      </c>
      <c r="T558" s="836" t="e">
        <f t="shared" si="151"/>
        <v>#VALUE!</v>
      </c>
      <c r="V558" s="836" t="e">
        <f t="shared" si="152"/>
        <v>#VALUE!</v>
      </c>
      <c r="W558" s="836" t="e">
        <f t="shared" si="153"/>
        <v>#VALUE!</v>
      </c>
      <c r="X558" s="836" t="e">
        <f t="shared" si="154"/>
        <v>#VALUE!</v>
      </c>
      <c r="Y558" s="836" t="e">
        <f t="shared" si="155"/>
        <v>#VALUE!</v>
      </c>
      <c r="Z558" s="836" t="e">
        <f t="shared" si="156"/>
        <v>#VALUE!</v>
      </c>
      <c r="AA558" s="836" t="e">
        <f t="shared" si="157"/>
        <v>#VALUE!</v>
      </c>
    </row>
    <row r="559" spans="1:27">
      <c r="A559" s="162"/>
      <c r="B559" s="836" t="e">
        <f t="shared" si="135"/>
        <v>#VALUE!</v>
      </c>
      <c r="C559" s="836" t="e">
        <f t="shared" si="136"/>
        <v>#VALUE!</v>
      </c>
      <c r="D559" s="836" t="e">
        <f t="shared" si="137"/>
        <v>#VALUE!</v>
      </c>
      <c r="E559" s="836" t="e">
        <f t="shared" si="138"/>
        <v>#VALUE!</v>
      </c>
      <c r="F559" s="836" t="e">
        <f t="shared" si="139"/>
        <v>#VALUE!</v>
      </c>
      <c r="G559" s="827"/>
      <c r="H559" s="836" t="e">
        <f t="shared" si="140"/>
        <v>#VALUE!</v>
      </c>
      <c r="I559" s="836" t="e">
        <f t="shared" si="141"/>
        <v>#VALUE!</v>
      </c>
      <c r="J559" s="836" t="e">
        <f t="shared" si="142"/>
        <v>#VALUE!</v>
      </c>
      <c r="K559" s="836" t="e">
        <f t="shared" si="143"/>
        <v>#VALUE!</v>
      </c>
      <c r="L559" s="836" t="e">
        <f t="shared" si="144"/>
        <v>#VALUE!</v>
      </c>
      <c r="M559" s="836" t="e">
        <f t="shared" si="145"/>
        <v>#VALUE!</v>
      </c>
      <c r="N559" s="836" t="e">
        <f t="shared" si="146"/>
        <v>#VALUE!</v>
      </c>
      <c r="P559" s="836" t="e">
        <f t="shared" si="147"/>
        <v>#VALUE!</v>
      </c>
      <c r="Q559" s="836" t="e">
        <f t="shared" si="148"/>
        <v>#VALUE!</v>
      </c>
      <c r="R559" s="836" t="e">
        <f t="shared" si="149"/>
        <v>#VALUE!</v>
      </c>
      <c r="S559" s="836" t="e">
        <f t="shared" si="150"/>
        <v>#VALUE!</v>
      </c>
      <c r="T559" s="836" t="e">
        <f t="shared" si="151"/>
        <v>#VALUE!</v>
      </c>
      <c r="V559" s="836" t="e">
        <f t="shared" si="152"/>
        <v>#VALUE!</v>
      </c>
      <c r="W559" s="836" t="e">
        <f t="shared" si="153"/>
        <v>#VALUE!</v>
      </c>
      <c r="X559" s="836" t="e">
        <f t="shared" si="154"/>
        <v>#VALUE!</v>
      </c>
      <c r="Y559" s="836" t="e">
        <f t="shared" si="155"/>
        <v>#VALUE!</v>
      </c>
      <c r="Z559" s="836" t="e">
        <f t="shared" si="156"/>
        <v>#VALUE!</v>
      </c>
      <c r="AA559" s="836" t="e">
        <f t="shared" si="157"/>
        <v>#VALUE!</v>
      </c>
    </row>
    <row r="560" spans="1:27">
      <c r="A560" s="162"/>
      <c r="B560" s="258"/>
      <c r="C560" s="140"/>
      <c r="D560" s="140"/>
      <c r="E560" s="140"/>
      <c r="F560" s="140"/>
      <c r="G560" s="140"/>
      <c r="H560" s="140"/>
      <c r="I560" s="140"/>
      <c r="J560" s="163"/>
      <c r="K560" s="163"/>
    </row>
    <row r="561" spans="1:27">
      <c r="A561" s="162"/>
      <c r="B561" s="258"/>
      <c r="C561" s="140"/>
      <c r="D561" s="140"/>
      <c r="E561" s="140"/>
      <c r="F561" s="140"/>
      <c r="G561" s="140"/>
      <c r="H561" s="140"/>
      <c r="I561" s="140"/>
      <c r="J561" s="163"/>
      <c r="K561" s="163"/>
    </row>
    <row r="562" spans="1:27">
      <c r="A562" s="162"/>
      <c r="B562" s="870" t="s">
        <v>589</v>
      </c>
    </row>
    <row r="563" spans="1:27">
      <c r="A563" s="162"/>
    </row>
    <row r="564" spans="1:27">
      <c r="A564" s="162"/>
    </row>
    <row r="565" spans="1:27">
      <c r="A565" s="162"/>
    </row>
    <row r="566" spans="1:27">
      <c r="A566" s="162"/>
      <c r="B566" s="624" t="s">
        <v>590</v>
      </c>
      <c r="C566" t="s">
        <v>575</v>
      </c>
      <c r="D566" t="s">
        <v>578</v>
      </c>
      <c r="E566" t="s">
        <v>577</v>
      </c>
      <c r="F566" s="842" t="s">
        <v>571</v>
      </c>
      <c r="G566" s="842" t="s">
        <v>572</v>
      </c>
      <c r="H566" s="842" t="s">
        <v>573</v>
      </c>
      <c r="I566" s="842" t="s">
        <v>574</v>
      </c>
      <c r="J566" s="842" t="s">
        <v>576</v>
      </c>
      <c r="K566" s="842" t="s">
        <v>579</v>
      </c>
      <c r="L566" s="842" t="s">
        <v>580</v>
      </c>
      <c r="M566" s="842" t="s">
        <v>581</v>
      </c>
      <c r="N566" s="842" t="s">
        <v>582</v>
      </c>
      <c r="O566" s="842" t="s">
        <v>583</v>
      </c>
      <c r="P566" s="842" t="s">
        <v>584</v>
      </c>
      <c r="Q566" s="842" t="s">
        <v>585</v>
      </c>
      <c r="R566" s="842" t="s">
        <v>586</v>
      </c>
    </row>
    <row r="567" spans="1:27">
      <c r="A567" s="162"/>
      <c r="B567" s="853">
        <f t="shared" ref="B567:B572" si="158">E80</f>
        <v>0</v>
      </c>
      <c r="C567" s="434">
        <f t="shared" ref="C567:C572" si="159">ABS(F80)</f>
        <v>0</v>
      </c>
      <c r="D567" s="434">
        <f>ABS(C567)-0.025</f>
        <v>-2.5000000000000001E-2</v>
      </c>
      <c r="E567" s="434">
        <f>ABS(C567)+0.025</f>
        <v>2.5000000000000001E-2</v>
      </c>
      <c r="F567" s="847" t="e">
        <f t="shared" ref="F567:F572" si="160">ROUND(IF(D567=0,B579,IF(D567&lt;0.0500001,C579,IF(D567&lt;0.100000001,D579,IF(D567&lt;0.15000001,E579,IF(D567&lt;0.2,F579,IF(D567=0.2,F579,"")))))),2)</f>
        <v>#VALUE!</v>
      </c>
      <c r="G567" s="846" t="e">
        <f t="shared" ref="G567:G572" si="161">ROUND((IF(D567=0,P579,IF(D567&lt;0.0500001,Q579,IF(D567&lt;0.1000001,R579,IF(D567&lt;0.15000001,S579,IF(D567&lt;0.2,T579,IF(D567=0.2,T579,""))))))),2)</f>
        <v>#VALUE!</v>
      </c>
      <c r="H567" s="846" t="e">
        <f t="shared" ref="H567:H572" si="162">ROUND(IF(E567=0,V579,IF(E567&lt;0.04,V579,IF(E567&lt;0.06,W579,IF(E567&lt;0.08,X579,IF(E567&lt;0.1,Y579,IF(E567&lt;0.15,Z579,IF(E567=0.15,AA579,IF(E567&gt;0.15,AA579,"")))))))),2)</f>
        <v>#VALUE!</v>
      </c>
      <c r="I567" s="847" t="e">
        <f t="shared" ref="I567:I572" si="163">ROUND(IF(E567=0,H579,IF(E567&lt;0.02,H579,IF(E567&lt;0.04,I579,IF(E567&lt;0.06,J579,IF(E567&lt;0.08,K579,IF(E567&lt;0.1,L579,IF(E567&lt;0.15,M579,IF(E567=0.15,N579,IF(E567&gt;0.15,N579,""))))))))),2)</f>
        <v>#VALUE!</v>
      </c>
      <c r="J567" s="848" t="e">
        <f t="shared" ref="J567:J572" si="164">IF(F101&gt;0,(H567+G567),(I567+F567))</f>
        <v>#VALUE!</v>
      </c>
      <c r="K567" t="str">
        <f t="shared" ref="K567:K572" si="165">IF(D331="769D 988G D7R",C$613,IF(D331="777D 992G D7R",D$613,"Select Fleet"))</f>
        <v>Select Fleet</v>
      </c>
      <c r="L567" s="662" t="str">
        <f t="shared" ref="L567:L572" si="166">IF(D331="769D 988G D7R", D$594*D$595,IF(D331="777D 992G D7R",E$594*E$595,"Select Fleet"))</f>
        <v>Select Fleet</v>
      </c>
      <c r="M567" t="str">
        <f t="shared" ref="M567:M572" si="167">IF(D331="769D 988G D7R", C$614,IF(D331="777D 992G D7R",D$614,"Select Fleet"))</f>
        <v>Select Fleet</v>
      </c>
      <c r="N567" s="662" t="e">
        <f>K567+L567+M567+J567</f>
        <v>#VALUE!</v>
      </c>
      <c r="O567" t="e">
        <f t="shared" ref="O567:O572" si="168">IF(I80=0,ROUNDUP((N567-L567)/L567,0),I80)</f>
        <v>#VALUE!</v>
      </c>
      <c r="P567" t="e">
        <f t="shared" ref="P567:P572" si="169">ROUND(((IF(D331="769D 988G D7R",26.65,IF(D331="777D 992G D7R",66.8,"Select Fleet"))*60)/N567),0)</f>
        <v>#VALUE!</v>
      </c>
      <c r="Q567" t="e">
        <f>ROUND(P567*O567*0.83,0)</f>
        <v>#VALUE!</v>
      </c>
      <c r="R567" t="e">
        <f t="shared" ref="R567:R572" si="170">IF(ROUND(C331/Q567,0)&lt;1,1,ROUND(C331/Q567,0))</f>
        <v>#VALUE!</v>
      </c>
    </row>
    <row r="568" spans="1:27">
      <c r="A568" s="162"/>
      <c r="B568" s="853">
        <f t="shared" si="158"/>
        <v>0</v>
      </c>
      <c r="C568" s="434">
        <f t="shared" si="159"/>
        <v>0</v>
      </c>
      <c r="D568" s="434">
        <f t="shared" ref="D568:D572" si="171">ABS(C568)-0.025</f>
        <v>-2.5000000000000001E-2</v>
      </c>
      <c r="E568" s="434">
        <f t="shared" ref="E568:E572" si="172">ABS(C568)+0.025</f>
        <v>2.5000000000000001E-2</v>
      </c>
      <c r="F568" s="847" t="e">
        <f t="shared" si="160"/>
        <v>#VALUE!</v>
      </c>
      <c r="G568" s="846" t="e">
        <f t="shared" si="161"/>
        <v>#VALUE!</v>
      </c>
      <c r="H568" s="846" t="e">
        <f t="shared" si="162"/>
        <v>#VALUE!</v>
      </c>
      <c r="I568" s="847" t="e">
        <f t="shared" si="163"/>
        <v>#VALUE!</v>
      </c>
      <c r="J568" s="848" t="e">
        <f t="shared" si="164"/>
        <v>#VALUE!</v>
      </c>
      <c r="K568" t="str">
        <f t="shared" si="165"/>
        <v>Select Fleet</v>
      </c>
      <c r="L568" s="662" t="str">
        <f t="shared" si="166"/>
        <v>Select Fleet</v>
      </c>
      <c r="M568" t="str">
        <f t="shared" si="167"/>
        <v>Select Fleet</v>
      </c>
      <c r="N568" s="662" t="e">
        <f t="shared" ref="N568:N572" si="173">K568+L568+M568+J568</f>
        <v>#VALUE!</v>
      </c>
      <c r="O568" t="e">
        <f t="shared" si="168"/>
        <v>#VALUE!</v>
      </c>
      <c r="P568" t="e">
        <f t="shared" si="169"/>
        <v>#VALUE!</v>
      </c>
      <c r="Q568" t="e">
        <f t="shared" ref="Q568:Q572" si="174">ROUND(P568*O568*0.83,0)</f>
        <v>#VALUE!</v>
      </c>
      <c r="R568" t="e">
        <f t="shared" si="170"/>
        <v>#VALUE!</v>
      </c>
    </row>
    <row r="569" spans="1:27">
      <c r="A569" s="162"/>
      <c r="B569" s="853">
        <f t="shared" si="158"/>
        <v>0</v>
      </c>
      <c r="C569" s="434">
        <f t="shared" si="159"/>
        <v>0</v>
      </c>
      <c r="D569" s="434">
        <f t="shared" si="171"/>
        <v>-2.5000000000000001E-2</v>
      </c>
      <c r="E569" s="434">
        <f t="shared" si="172"/>
        <v>2.5000000000000001E-2</v>
      </c>
      <c r="F569" s="847" t="e">
        <f t="shared" si="160"/>
        <v>#VALUE!</v>
      </c>
      <c r="G569" s="846" t="e">
        <f t="shared" si="161"/>
        <v>#VALUE!</v>
      </c>
      <c r="H569" s="846" t="e">
        <f t="shared" si="162"/>
        <v>#VALUE!</v>
      </c>
      <c r="I569" s="847" t="e">
        <f t="shared" si="163"/>
        <v>#VALUE!</v>
      </c>
      <c r="J569" s="848" t="e">
        <f t="shared" si="164"/>
        <v>#VALUE!</v>
      </c>
      <c r="K569" t="str">
        <f t="shared" si="165"/>
        <v>Select Fleet</v>
      </c>
      <c r="L569" s="662" t="str">
        <f t="shared" si="166"/>
        <v>Select Fleet</v>
      </c>
      <c r="M569" t="str">
        <f t="shared" si="167"/>
        <v>Select Fleet</v>
      </c>
      <c r="N569" s="662" t="e">
        <f t="shared" si="173"/>
        <v>#VALUE!</v>
      </c>
      <c r="O569" t="e">
        <f t="shared" si="168"/>
        <v>#VALUE!</v>
      </c>
      <c r="P569" t="e">
        <f t="shared" si="169"/>
        <v>#VALUE!</v>
      </c>
      <c r="Q569" t="e">
        <f t="shared" si="174"/>
        <v>#VALUE!</v>
      </c>
      <c r="R569" t="e">
        <f t="shared" si="170"/>
        <v>#VALUE!</v>
      </c>
    </row>
    <row r="570" spans="1:27">
      <c r="A570" s="162"/>
      <c r="B570" s="853">
        <f t="shared" si="158"/>
        <v>0</v>
      </c>
      <c r="C570" s="434">
        <f t="shared" si="159"/>
        <v>0</v>
      </c>
      <c r="D570" s="434">
        <f t="shared" si="171"/>
        <v>-2.5000000000000001E-2</v>
      </c>
      <c r="E570" s="434">
        <f t="shared" si="172"/>
        <v>2.5000000000000001E-2</v>
      </c>
      <c r="F570" s="847" t="e">
        <f t="shared" si="160"/>
        <v>#VALUE!</v>
      </c>
      <c r="G570" s="846" t="e">
        <f t="shared" si="161"/>
        <v>#VALUE!</v>
      </c>
      <c r="H570" s="846" t="e">
        <f t="shared" si="162"/>
        <v>#VALUE!</v>
      </c>
      <c r="I570" s="847" t="e">
        <f t="shared" si="163"/>
        <v>#VALUE!</v>
      </c>
      <c r="J570" s="848" t="e">
        <f t="shared" si="164"/>
        <v>#VALUE!</v>
      </c>
      <c r="K570" t="str">
        <f t="shared" si="165"/>
        <v>Select Fleet</v>
      </c>
      <c r="L570" s="662" t="str">
        <f t="shared" si="166"/>
        <v>Select Fleet</v>
      </c>
      <c r="M570" t="str">
        <f t="shared" si="167"/>
        <v>Select Fleet</v>
      </c>
      <c r="N570" s="662" t="e">
        <f t="shared" si="173"/>
        <v>#VALUE!</v>
      </c>
      <c r="O570" t="e">
        <f t="shared" si="168"/>
        <v>#VALUE!</v>
      </c>
      <c r="P570" t="e">
        <f t="shared" si="169"/>
        <v>#VALUE!</v>
      </c>
      <c r="Q570" t="e">
        <f t="shared" si="174"/>
        <v>#VALUE!</v>
      </c>
      <c r="R570" t="e">
        <f t="shared" si="170"/>
        <v>#VALUE!</v>
      </c>
    </row>
    <row r="571" spans="1:27">
      <c r="A571" s="162"/>
      <c r="B571" s="853">
        <f t="shared" si="158"/>
        <v>0</v>
      </c>
      <c r="C571" s="434">
        <f t="shared" si="159"/>
        <v>0</v>
      </c>
      <c r="D571" s="434">
        <f t="shared" si="171"/>
        <v>-2.5000000000000001E-2</v>
      </c>
      <c r="E571" s="434">
        <f t="shared" si="172"/>
        <v>2.5000000000000001E-2</v>
      </c>
      <c r="F571" s="847" t="e">
        <f t="shared" si="160"/>
        <v>#VALUE!</v>
      </c>
      <c r="G571" s="846" t="e">
        <f t="shared" si="161"/>
        <v>#VALUE!</v>
      </c>
      <c r="H571" s="846" t="e">
        <f t="shared" si="162"/>
        <v>#VALUE!</v>
      </c>
      <c r="I571" s="847" t="e">
        <f t="shared" si="163"/>
        <v>#VALUE!</v>
      </c>
      <c r="J571" s="848" t="e">
        <f t="shared" si="164"/>
        <v>#VALUE!</v>
      </c>
      <c r="K571" t="str">
        <f t="shared" si="165"/>
        <v>Select Fleet</v>
      </c>
      <c r="L571" s="662" t="str">
        <f t="shared" si="166"/>
        <v>Select Fleet</v>
      </c>
      <c r="M571" t="str">
        <f t="shared" si="167"/>
        <v>Select Fleet</v>
      </c>
      <c r="N571" s="662" t="e">
        <f t="shared" si="173"/>
        <v>#VALUE!</v>
      </c>
      <c r="O571" t="e">
        <f t="shared" si="168"/>
        <v>#VALUE!</v>
      </c>
      <c r="P571" t="e">
        <f t="shared" si="169"/>
        <v>#VALUE!</v>
      </c>
      <c r="Q571" t="e">
        <f t="shared" si="174"/>
        <v>#VALUE!</v>
      </c>
      <c r="R571" t="e">
        <f t="shared" si="170"/>
        <v>#VALUE!</v>
      </c>
    </row>
    <row r="572" spans="1:27">
      <c r="A572" s="162"/>
      <c r="B572" s="853">
        <f t="shared" si="158"/>
        <v>0</v>
      </c>
      <c r="C572" s="434">
        <f t="shared" si="159"/>
        <v>0</v>
      </c>
      <c r="D572" s="434">
        <f t="shared" si="171"/>
        <v>-2.5000000000000001E-2</v>
      </c>
      <c r="E572" s="434">
        <f t="shared" si="172"/>
        <v>2.5000000000000001E-2</v>
      </c>
      <c r="F572" s="847" t="e">
        <f t="shared" si="160"/>
        <v>#VALUE!</v>
      </c>
      <c r="G572" s="846" t="e">
        <f t="shared" si="161"/>
        <v>#VALUE!</v>
      </c>
      <c r="H572" s="846" t="e">
        <f t="shared" si="162"/>
        <v>#VALUE!</v>
      </c>
      <c r="I572" s="847" t="e">
        <f t="shared" si="163"/>
        <v>#VALUE!</v>
      </c>
      <c r="J572" s="848" t="e">
        <f t="shared" si="164"/>
        <v>#VALUE!</v>
      </c>
      <c r="K572" t="str">
        <f t="shared" si="165"/>
        <v>Select Fleet</v>
      </c>
      <c r="L572" s="662" t="str">
        <f t="shared" si="166"/>
        <v>Select Fleet</v>
      </c>
      <c r="M572" t="str">
        <f t="shared" si="167"/>
        <v>Select Fleet</v>
      </c>
      <c r="N572" s="662" t="e">
        <f t="shared" si="173"/>
        <v>#VALUE!</v>
      </c>
      <c r="O572" t="e">
        <f t="shared" si="168"/>
        <v>#VALUE!</v>
      </c>
      <c r="P572" t="e">
        <f t="shared" si="169"/>
        <v>#VALUE!</v>
      </c>
      <c r="Q572" t="e">
        <f t="shared" si="174"/>
        <v>#VALUE!</v>
      </c>
      <c r="R572" t="e">
        <f t="shared" si="170"/>
        <v>#VALUE!</v>
      </c>
    </row>
    <row r="573" spans="1:27">
      <c r="A573" s="162"/>
      <c r="B573" s="258"/>
      <c r="C573" s="140"/>
      <c r="D573" s="140"/>
      <c r="E573" s="140"/>
      <c r="F573" s="140"/>
      <c r="G573" s="140"/>
      <c r="H573" s="140"/>
      <c r="I573" s="140"/>
      <c r="J573" s="163"/>
      <c r="K573" s="163"/>
    </row>
    <row r="574" spans="1:27">
      <c r="A574" s="162"/>
      <c r="B574" s="870" t="s">
        <v>587</v>
      </c>
      <c r="F574" s="827"/>
      <c r="G574" s="827"/>
      <c r="H574" s="297"/>
      <c r="I574" s="837"/>
      <c r="J574" s="837"/>
      <c r="K574" s="837"/>
      <c r="L574" s="837"/>
      <c r="M574" s="837"/>
      <c r="N574" s="827"/>
      <c r="V574" s="297"/>
      <c r="W574" s="837"/>
      <c r="X574" s="837"/>
      <c r="Y574" s="837"/>
      <c r="Z574" s="837"/>
      <c r="AA574" s="837"/>
    </row>
    <row r="575" spans="1:27">
      <c r="A575" s="162"/>
      <c r="G575" s="827"/>
      <c r="H575" s="297"/>
      <c r="I575" s="297"/>
      <c r="J575" s="297"/>
      <c r="K575" s="297"/>
      <c r="L575" s="297"/>
      <c r="M575" s="297"/>
      <c r="N575" s="297"/>
      <c r="V575" s="297"/>
      <c r="W575" s="297"/>
      <c r="X575" s="297"/>
      <c r="Y575" s="297"/>
      <c r="Z575" s="297"/>
      <c r="AA575" s="297"/>
    </row>
    <row r="576" spans="1:27">
      <c r="A576" s="162"/>
      <c r="B576" s="831" t="s">
        <v>568</v>
      </c>
      <c r="C576" s="831"/>
      <c r="D576" s="831"/>
      <c r="E576" s="831"/>
      <c r="F576" s="831"/>
      <c r="G576" s="827"/>
      <c r="H576" s="837" t="s">
        <v>569</v>
      </c>
      <c r="I576" s="829"/>
      <c r="J576" s="827"/>
      <c r="K576" s="827"/>
      <c r="L576" s="827"/>
      <c r="M576" s="827"/>
      <c r="N576" s="827"/>
      <c r="P576" s="831" t="s">
        <v>592</v>
      </c>
      <c r="Q576" s="831"/>
      <c r="R576" s="831"/>
      <c r="S576" s="831"/>
      <c r="T576" s="831"/>
      <c r="V576" s="837" t="s">
        <v>570</v>
      </c>
      <c r="W576" s="827"/>
      <c r="X576" s="827"/>
      <c r="Y576" s="827"/>
      <c r="Z576" s="827"/>
      <c r="AA576" s="827"/>
    </row>
    <row r="577" spans="1:27">
      <c r="A577" s="162"/>
      <c r="B577" s="832">
        <v>0</v>
      </c>
      <c r="C577" s="832">
        <v>0.05</v>
      </c>
      <c r="D577" s="833">
        <v>0.1</v>
      </c>
      <c r="E577" s="834">
        <v>0.15</v>
      </c>
      <c r="F577" s="834">
        <v>0.2</v>
      </c>
      <c r="G577" s="827"/>
      <c r="H577" s="838">
        <v>0</v>
      </c>
      <c r="I577" s="838">
        <v>0.02</v>
      </c>
      <c r="J577" s="839">
        <v>0.04</v>
      </c>
      <c r="K577" s="840">
        <v>0.06</v>
      </c>
      <c r="L577" s="840">
        <v>0.08</v>
      </c>
      <c r="M577" s="840">
        <v>0.1</v>
      </c>
      <c r="N577" s="840">
        <v>0.15</v>
      </c>
      <c r="P577" s="832">
        <v>0</v>
      </c>
      <c r="Q577" s="834">
        <v>0.05</v>
      </c>
      <c r="R577" s="834">
        <v>0.1</v>
      </c>
      <c r="S577" s="834">
        <v>0.15</v>
      </c>
      <c r="T577" s="834">
        <v>0.2</v>
      </c>
      <c r="V577" s="838">
        <v>0</v>
      </c>
      <c r="W577" s="841">
        <v>0.04</v>
      </c>
      <c r="X577" s="841">
        <v>0.06</v>
      </c>
      <c r="Y577" s="841">
        <v>0.08</v>
      </c>
      <c r="Z577" s="841">
        <v>0.1</v>
      </c>
      <c r="AA577" s="841">
        <v>0.15</v>
      </c>
    </row>
    <row r="578" spans="1:27">
      <c r="A578" s="162"/>
      <c r="B578" s="827"/>
      <c r="C578" s="827"/>
      <c r="D578" s="827"/>
      <c r="E578" s="827"/>
      <c r="F578" s="827"/>
      <c r="G578" s="827"/>
      <c r="H578" s="830"/>
      <c r="I578" s="830"/>
      <c r="J578" s="830"/>
      <c r="K578" s="830"/>
      <c r="L578" s="830"/>
      <c r="M578" s="830"/>
      <c r="N578" s="830"/>
      <c r="P578" s="828"/>
      <c r="Q578" s="827"/>
      <c r="R578" s="827"/>
      <c r="S578" s="827"/>
      <c r="T578" s="827"/>
      <c r="V578" s="830"/>
      <c r="W578" s="830"/>
      <c r="X578" s="830"/>
      <c r="Y578" s="830"/>
      <c r="Z578" s="830"/>
      <c r="AA578" s="830"/>
    </row>
    <row r="579" spans="1:27">
      <c r="A579" s="162"/>
      <c r="B579" s="836" t="e">
        <f t="shared" ref="B579:B584" si="175">60*B567/5280/IF(D331="769D 988G D7R",G$531,IF(D331="777D 992G D7R",L$531,"Select Fleet"))</f>
        <v>#VALUE!</v>
      </c>
      <c r="C579" s="836" t="e">
        <f t="shared" ref="C579:C584" si="176">60*B567/5280/IF(D331="769D 988G D7R",G$531,IF(D331="777D 992G D7R",L$531,"Select Fleet"))</f>
        <v>#VALUE!</v>
      </c>
      <c r="D579" s="836" t="e">
        <f t="shared" ref="D579:D584" si="177">60*B567/5280/IF(D331="769D 988G D7R",F$531,IF(D331="777D 992G D7R",K$531,"Select Fleet"))</f>
        <v>#VALUE!</v>
      </c>
      <c r="E579" s="836" t="e">
        <f t="shared" ref="E579:E584" si="178">60*B567/5280/IF(D331="769D 988G D7R",E$531,IF(D331="777D 992G D7R",J$531,"Select Fleet"))</f>
        <v>#VALUE!</v>
      </c>
      <c r="F579" s="836" t="e">
        <f t="shared" ref="F579:F584" si="179">60*B567/5280/IF(D331="769D 988G D7R",D$531,IF(D331="777D 992G D7R",I$531,"Select Fleet"))</f>
        <v>#VALUE!</v>
      </c>
      <c r="G579" s="827"/>
      <c r="H579" s="836" t="e">
        <f t="shared" ref="H579:H584" si="180">(B567/IF(D331="769D 988G D7R",$H$480,IF(D331="777D 992G D7R",$H$503,"Select Fleet")))^(1/IF(D331="769D 988G D7R",$I$480,IF(D331="777D 992G D7R",$I$503,"Select Fleet")))</f>
        <v>#VALUE!</v>
      </c>
      <c r="I579" s="836" t="e">
        <f t="shared" ref="I579:I584" si="181">(B567/IF(D331="769D 988G D7R",$H$481,IF(D331="777D 992G D7R",$H$503,"Select Fleet")))^(1/IF(D331="769D 988G D7R",$I$481,IF(D331="777D 992G D7R",$I$503,"Select Fleet")))</f>
        <v>#VALUE!</v>
      </c>
      <c r="J579" s="836" t="e">
        <f t="shared" ref="J579:J584" si="182">(B567/IF(D331="769D 988G D7R",$H$482,IF(D331="777D 992G D7R",$H$504,"Select Fleet")))^(1/IF(D331="769D 988G D7R",$I$482,IF(D331="777D 992G D7R",$I$504,"Select Fleet")))</f>
        <v>#VALUE!</v>
      </c>
      <c r="K579" s="836" t="e">
        <f t="shared" ref="K579:K584" si="183">(B567/IF(D331="769D 988G D7R",$H$483,IF(D331="777D 992G D7R",$H$505,"Select Fleet")))^(1/IF(D331="769D 988G D7R",$I$483,IF(D331="777D 992G D7R",$I$505,"Select Fleet")))</f>
        <v>#VALUE!</v>
      </c>
      <c r="L579" s="836" t="e">
        <f t="shared" ref="L579:L584" si="184">(B567/IF(D331="769D 988G D7R",$H$484,IF(D331="777D 992G D7R",$H$506,"Select Fleet")))^(1/IF(D331="769D 988G D7R",$I$484,IF(D331="777D 992G D7R",$I$506,"Select Fleet")))</f>
        <v>#VALUE!</v>
      </c>
      <c r="M579" s="836" t="e">
        <f t="shared" ref="M579:M584" si="185">(B567/IF(D331="769D 988G D7R",$H$485,IF(D331="777D 992G D7R",$H$507,"Select Fleet")))^(1/IF(D331="769D 988G D7R",$I$485,IF(D331="777D 992G D7R",$I$507,"Select Fleet")))</f>
        <v>#VALUE!</v>
      </c>
      <c r="N579" s="836" t="e">
        <f t="shared" ref="N579:N584" si="186">(B567/IF(D331="769D 988G D7R",$H$486,IF(D331="777D 992G D7R",$H$508,"Select Fleet")))^(1/IF(D331="769D 988G D7R",$I$486,IF(D331="777D 992G D7R",$I$508,"Select Fleet")))</f>
        <v>#VALUE!</v>
      </c>
      <c r="P579" s="836" t="e">
        <f t="shared" ref="P579:P584" si="187">60*B567/5280/IF(D331="769D 988G D7R",G$524,IF(D331="777D 992G D7R",L$524,"Select Fleet"))</f>
        <v>#VALUE!</v>
      </c>
      <c r="Q579" s="836" t="e">
        <f t="shared" ref="Q579:Q584" si="188">60*B567/5280/IF(D331="769D 988G D7R",G$524,IF(D331="777D 992G D7R",L$524,"Select Fleet"))</f>
        <v>#VALUE!</v>
      </c>
      <c r="R579" s="836" t="e">
        <f t="shared" ref="R579:R584" si="189">60*B567/5280/IF(D331="769D 988G D7R",F$524,IF(D331="777D 992G D7R",K$524,"Select Fleet"))</f>
        <v>#VALUE!</v>
      </c>
      <c r="S579" s="836" t="e">
        <f t="shared" ref="S579:S584" si="190">60*B567/5280/IF(D331="769D 988G D7R",E$524,IF(D331="777D 992G D7R",J$524,"Select Fleet"))</f>
        <v>#VALUE!</v>
      </c>
      <c r="T579" s="836" t="e">
        <f t="shared" ref="T579:T584" si="191">60*B567/5280/IF(D331="769D 988G D7R",D$524,IF(D331="777D 992G D7R",I$524,"Select Fleet"))</f>
        <v>#VALUE!</v>
      </c>
      <c r="V579" s="836" t="e">
        <f t="shared" ref="V579:V584" si="192">(B567/IF(D331="769D 988G D7R",$H$470,IF(D331="777D 992G D7R",$H$493,"Select Fleet")))^(1/IF(D331="769D 988G D7R",$I$470,IF(D331="777D 992G D7R",$I$493,"Select Fleet")))</f>
        <v>#VALUE!</v>
      </c>
      <c r="W579" s="836" t="e">
        <f t="shared" ref="W579:W584" si="193">(B567/IF(D331="769D 988G D7R",$H$471,IF(D331="777D 992G D7R",$H$494,"Select Fleet")))^(1/IF(D331="769D 988G D7R",$I$471,IF(D331="777D 992G D7R",$I$494,"Select Fleet")))</f>
        <v>#VALUE!</v>
      </c>
      <c r="X579" s="836" t="e">
        <f t="shared" ref="X579:X584" si="194">(B567/IF(D331="769D 988G D7R",$H$472,IF(D331="777D 992G D7R",$H$495,"Select Fleet")))^(1/IF(D331="769D 988G D7R",$I$472,IF(D331="777D 992G D7R",$I$495,"Select Fleet")))</f>
        <v>#VALUE!</v>
      </c>
      <c r="Y579" s="836" t="e">
        <f t="shared" ref="Y579:Y584" si="195">(B567/IF(D331="769D 988G D7R",$H$473,IF(D331="777D 992G D7R",$H$496,"Select Fleet")))^(1/IF(D331="769D 988G D7R",$I$473,IF(D331="777D 992G D7R",$I$496,"Select Fleet")))</f>
        <v>#VALUE!</v>
      </c>
      <c r="Z579" s="836" t="e">
        <f t="shared" ref="Z579:Z584" si="196">(B567/IF(D331="769D 988G D7R",$H$474,IF(D331="777D 992G D7R",$H$497,"Select Fleet")))^(1/IF(D331="769D 988G D7R",$I$474,IF(D331="777D 992G D7R",$I$497,"Select Fleet")))</f>
        <v>#VALUE!</v>
      </c>
      <c r="AA579" s="836" t="e">
        <f t="shared" ref="AA579:AA584" si="197">(B567/IF(D331="769D 988G D7R",$H$475,IF(D331="777D 992G D7R",$H$498,"Select Fleet")))^(1/IF(D331="769D 988G D7R",$I$475,IF(D331="777D 992G D7R",$I$498,"Select Fleet")))</f>
        <v>#VALUE!</v>
      </c>
    </row>
    <row r="580" spans="1:27">
      <c r="A580" s="162"/>
      <c r="B580" s="836" t="e">
        <f t="shared" si="175"/>
        <v>#VALUE!</v>
      </c>
      <c r="C580" s="836" t="e">
        <f t="shared" si="176"/>
        <v>#VALUE!</v>
      </c>
      <c r="D580" s="836" t="e">
        <f t="shared" si="177"/>
        <v>#VALUE!</v>
      </c>
      <c r="E580" s="836" t="e">
        <f t="shared" si="178"/>
        <v>#VALUE!</v>
      </c>
      <c r="F580" s="836" t="e">
        <f t="shared" si="179"/>
        <v>#VALUE!</v>
      </c>
      <c r="G580" s="827"/>
      <c r="H580" s="836" t="e">
        <f t="shared" si="180"/>
        <v>#VALUE!</v>
      </c>
      <c r="I580" s="836" t="e">
        <f t="shared" si="181"/>
        <v>#VALUE!</v>
      </c>
      <c r="J580" s="836" t="e">
        <f t="shared" si="182"/>
        <v>#VALUE!</v>
      </c>
      <c r="K580" s="836" t="e">
        <f t="shared" si="183"/>
        <v>#VALUE!</v>
      </c>
      <c r="L580" s="836" t="e">
        <f t="shared" si="184"/>
        <v>#VALUE!</v>
      </c>
      <c r="M580" s="836" t="e">
        <f t="shared" si="185"/>
        <v>#VALUE!</v>
      </c>
      <c r="N580" s="836" t="e">
        <f t="shared" si="186"/>
        <v>#VALUE!</v>
      </c>
      <c r="P580" s="836" t="e">
        <f t="shared" si="187"/>
        <v>#VALUE!</v>
      </c>
      <c r="Q580" s="836" t="e">
        <f t="shared" si="188"/>
        <v>#VALUE!</v>
      </c>
      <c r="R580" s="836" t="e">
        <f t="shared" si="189"/>
        <v>#VALUE!</v>
      </c>
      <c r="S580" s="836" t="e">
        <f t="shared" si="190"/>
        <v>#VALUE!</v>
      </c>
      <c r="T580" s="836" t="e">
        <f t="shared" si="191"/>
        <v>#VALUE!</v>
      </c>
      <c r="V580" s="836" t="e">
        <f t="shared" si="192"/>
        <v>#VALUE!</v>
      </c>
      <c r="W580" s="836" t="e">
        <f t="shared" si="193"/>
        <v>#VALUE!</v>
      </c>
      <c r="X580" s="836" t="e">
        <f t="shared" si="194"/>
        <v>#VALUE!</v>
      </c>
      <c r="Y580" s="836" t="e">
        <f t="shared" si="195"/>
        <v>#VALUE!</v>
      </c>
      <c r="Z580" s="836" t="e">
        <f t="shared" si="196"/>
        <v>#VALUE!</v>
      </c>
      <c r="AA580" s="836" t="e">
        <f t="shared" si="197"/>
        <v>#VALUE!</v>
      </c>
    </row>
    <row r="581" spans="1:27">
      <c r="A581" s="162"/>
      <c r="B581" s="836" t="e">
        <f t="shared" si="175"/>
        <v>#VALUE!</v>
      </c>
      <c r="C581" s="836" t="e">
        <f t="shared" si="176"/>
        <v>#VALUE!</v>
      </c>
      <c r="D581" s="836" t="e">
        <f t="shared" si="177"/>
        <v>#VALUE!</v>
      </c>
      <c r="E581" s="836" t="e">
        <f t="shared" si="178"/>
        <v>#VALUE!</v>
      </c>
      <c r="F581" s="836" t="e">
        <f t="shared" si="179"/>
        <v>#VALUE!</v>
      </c>
      <c r="G581" s="827"/>
      <c r="H581" s="836" t="e">
        <f t="shared" si="180"/>
        <v>#VALUE!</v>
      </c>
      <c r="I581" s="836" t="e">
        <f t="shared" si="181"/>
        <v>#VALUE!</v>
      </c>
      <c r="J581" s="836" t="e">
        <f t="shared" si="182"/>
        <v>#VALUE!</v>
      </c>
      <c r="K581" s="836" t="e">
        <f t="shared" si="183"/>
        <v>#VALUE!</v>
      </c>
      <c r="L581" s="836" t="e">
        <f t="shared" si="184"/>
        <v>#VALUE!</v>
      </c>
      <c r="M581" s="836" t="e">
        <f t="shared" si="185"/>
        <v>#VALUE!</v>
      </c>
      <c r="N581" s="836" t="e">
        <f t="shared" si="186"/>
        <v>#VALUE!</v>
      </c>
      <c r="P581" s="836" t="e">
        <f t="shared" si="187"/>
        <v>#VALUE!</v>
      </c>
      <c r="Q581" s="836" t="e">
        <f t="shared" si="188"/>
        <v>#VALUE!</v>
      </c>
      <c r="R581" s="836" t="e">
        <f t="shared" si="189"/>
        <v>#VALUE!</v>
      </c>
      <c r="S581" s="836" t="e">
        <f t="shared" si="190"/>
        <v>#VALUE!</v>
      </c>
      <c r="T581" s="836" t="e">
        <f t="shared" si="191"/>
        <v>#VALUE!</v>
      </c>
      <c r="V581" s="836" t="e">
        <f t="shared" si="192"/>
        <v>#VALUE!</v>
      </c>
      <c r="W581" s="836" t="e">
        <f t="shared" si="193"/>
        <v>#VALUE!</v>
      </c>
      <c r="X581" s="836" t="e">
        <f t="shared" si="194"/>
        <v>#VALUE!</v>
      </c>
      <c r="Y581" s="836" t="e">
        <f t="shared" si="195"/>
        <v>#VALUE!</v>
      </c>
      <c r="Z581" s="836" t="e">
        <f t="shared" si="196"/>
        <v>#VALUE!</v>
      </c>
      <c r="AA581" s="836" t="e">
        <f t="shared" si="197"/>
        <v>#VALUE!</v>
      </c>
    </row>
    <row r="582" spans="1:27">
      <c r="A582" s="162"/>
      <c r="B582" s="836" t="e">
        <f t="shared" si="175"/>
        <v>#VALUE!</v>
      </c>
      <c r="C582" s="836" t="e">
        <f t="shared" si="176"/>
        <v>#VALUE!</v>
      </c>
      <c r="D582" s="836" t="e">
        <f t="shared" si="177"/>
        <v>#VALUE!</v>
      </c>
      <c r="E582" s="836" t="e">
        <f t="shared" si="178"/>
        <v>#VALUE!</v>
      </c>
      <c r="F582" s="836" t="e">
        <f t="shared" si="179"/>
        <v>#VALUE!</v>
      </c>
      <c r="G582" s="827"/>
      <c r="H582" s="836" t="e">
        <f t="shared" si="180"/>
        <v>#VALUE!</v>
      </c>
      <c r="I582" s="836" t="e">
        <f t="shared" si="181"/>
        <v>#VALUE!</v>
      </c>
      <c r="J582" s="836" t="e">
        <f t="shared" si="182"/>
        <v>#VALUE!</v>
      </c>
      <c r="K582" s="836" t="e">
        <f t="shared" si="183"/>
        <v>#VALUE!</v>
      </c>
      <c r="L582" s="836" t="e">
        <f t="shared" si="184"/>
        <v>#VALUE!</v>
      </c>
      <c r="M582" s="836" t="e">
        <f t="shared" si="185"/>
        <v>#VALUE!</v>
      </c>
      <c r="N582" s="836" t="e">
        <f t="shared" si="186"/>
        <v>#VALUE!</v>
      </c>
      <c r="P582" s="836" t="e">
        <f t="shared" si="187"/>
        <v>#VALUE!</v>
      </c>
      <c r="Q582" s="836" t="e">
        <f t="shared" si="188"/>
        <v>#VALUE!</v>
      </c>
      <c r="R582" s="836" t="e">
        <f t="shared" si="189"/>
        <v>#VALUE!</v>
      </c>
      <c r="S582" s="836" t="e">
        <f t="shared" si="190"/>
        <v>#VALUE!</v>
      </c>
      <c r="T582" s="836" t="e">
        <f t="shared" si="191"/>
        <v>#VALUE!</v>
      </c>
      <c r="V582" s="836" t="e">
        <f t="shared" si="192"/>
        <v>#VALUE!</v>
      </c>
      <c r="W582" s="836" t="e">
        <f t="shared" si="193"/>
        <v>#VALUE!</v>
      </c>
      <c r="X582" s="836" t="e">
        <f t="shared" si="194"/>
        <v>#VALUE!</v>
      </c>
      <c r="Y582" s="836" t="e">
        <f t="shared" si="195"/>
        <v>#VALUE!</v>
      </c>
      <c r="Z582" s="836" t="e">
        <f t="shared" si="196"/>
        <v>#VALUE!</v>
      </c>
      <c r="AA582" s="836" t="e">
        <f t="shared" si="197"/>
        <v>#VALUE!</v>
      </c>
    </row>
    <row r="583" spans="1:27">
      <c r="A583" s="162"/>
      <c r="B583" s="836" t="e">
        <f t="shared" si="175"/>
        <v>#VALUE!</v>
      </c>
      <c r="C583" s="836" t="e">
        <f t="shared" si="176"/>
        <v>#VALUE!</v>
      </c>
      <c r="D583" s="836" t="e">
        <f t="shared" si="177"/>
        <v>#VALUE!</v>
      </c>
      <c r="E583" s="836" t="e">
        <f t="shared" si="178"/>
        <v>#VALUE!</v>
      </c>
      <c r="F583" s="836" t="e">
        <f t="shared" si="179"/>
        <v>#VALUE!</v>
      </c>
      <c r="G583" s="827"/>
      <c r="H583" s="836" t="e">
        <f t="shared" si="180"/>
        <v>#VALUE!</v>
      </c>
      <c r="I583" s="836" t="e">
        <f t="shared" si="181"/>
        <v>#VALUE!</v>
      </c>
      <c r="J583" s="836" t="e">
        <f t="shared" si="182"/>
        <v>#VALUE!</v>
      </c>
      <c r="K583" s="836" t="e">
        <f t="shared" si="183"/>
        <v>#VALUE!</v>
      </c>
      <c r="L583" s="836" t="e">
        <f t="shared" si="184"/>
        <v>#VALUE!</v>
      </c>
      <c r="M583" s="836" t="e">
        <f t="shared" si="185"/>
        <v>#VALUE!</v>
      </c>
      <c r="N583" s="836" t="e">
        <f t="shared" si="186"/>
        <v>#VALUE!</v>
      </c>
      <c r="P583" s="836" t="e">
        <f t="shared" si="187"/>
        <v>#VALUE!</v>
      </c>
      <c r="Q583" s="836" t="e">
        <f t="shared" si="188"/>
        <v>#VALUE!</v>
      </c>
      <c r="R583" s="836" t="e">
        <f t="shared" si="189"/>
        <v>#VALUE!</v>
      </c>
      <c r="S583" s="836" t="e">
        <f t="shared" si="190"/>
        <v>#VALUE!</v>
      </c>
      <c r="T583" s="836" t="e">
        <f t="shared" si="191"/>
        <v>#VALUE!</v>
      </c>
      <c r="V583" s="836" t="e">
        <f t="shared" si="192"/>
        <v>#VALUE!</v>
      </c>
      <c r="W583" s="836" t="e">
        <f t="shared" si="193"/>
        <v>#VALUE!</v>
      </c>
      <c r="X583" s="836" t="e">
        <f t="shared" si="194"/>
        <v>#VALUE!</v>
      </c>
      <c r="Y583" s="836" t="e">
        <f t="shared" si="195"/>
        <v>#VALUE!</v>
      </c>
      <c r="Z583" s="836" t="e">
        <f t="shared" si="196"/>
        <v>#VALUE!</v>
      </c>
      <c r="AA583" s="836" t="e">
        <f t="shared" si="197"/>
        <v>#VALUE!</v>
      </c>
    </row>
    <row r="584" spans="1:27">
      <c r="A584" s="162"/>
      <c r="B584" s="836" t="e">
        <f t="shared" si="175"/>
        <v>#VALUE!</v>
      </c>
      <c r="C584" s="836" t="e">
        <f t="shared" si="176"/>
        <v>#VALUE!</v>
      </c>
      <c r="D584" s="836" t="e">
        <f t="shared" si="177"/>
        <v>#VALUE!</v>
      </c>
      <c r="E584" s="836" t="e">
        <f t="shared" si="178"/>
        <v>#VALUE!</v>
      </c>
      <c r="F584" s="836" t="e">
        <f t="shared" si="179"/>
        <v>#VALUE!</v>
      </c>
      <c r="G584" s="827"/>
      <c r="H584" s="836" t="e">
        <f t="shared" si="180"/>
        <v>#VALUE!</v>
      </c>
      <c r="I584" s="836" t="e">
        <f t="shared" si="181"/>
        <v>#VALUE!</v>
      </c>
      <c r="J584" s="836" t="e">
        <f t="shared" si="182"/>
        <v>#VALUE!</v>
      </c>
      <c r="K584" s="836" t="e">
        <f t="shared" si="183"/>
        <v>#VALUE!</v>
      </c>
      <c r="L584" s="836" t="e">
        <f t="shared" si="184"/>
        <v>#VALUE!</v>
      </c>
      <c r="M584" s="836" t="e">
        <f t="shared" si="185"/>
        <v>#VALUE!</v>
      </c>
      <c r="N584" s="836" t="e">
        <f t="shared" si="186"/>
        <v>#VALUE!</v>
      </c>
      <c r="P584" s="836" t="e">
        <f t="shared" si="187"/>
        <v>#VALUE!</v>
      </c>
      <c r="Q584" s="836" t="e">
        <f t="shared" si="188"/>
        <v>#VALUE!</v>
      </c>
      <c r="R584" s="836" t="e">
        <f t="shared" si="189"/>
        <v>#VALUE!</v>
      </c>
      <c r="S584" s="836" t="e">
        <f t="shared" si="190"/>
        <v>#VALUE!</v>
      </c>
      <c r="T584" s="836" t="e">
        <f t="shared" si="191"/>
        <v>#VALUE!</v>
      </c>
      <c r="V584" s="836" t="e">
        <f t="shared" si="192"/>
        <v>#VALUE!</v>
      </c>
      <c r="W584" s="836" t="e">
        <f t="shared" si="193"/>
        <v>#VALUE!</v>
      </c>
      <c r="X584" s="836" t="e">
        <f t="shared" si="194"/>
        <v>#VALUE!</v>
      </c>
      <c r="Y584" s="836" t="e">
        <f t="shared" si="195"/>
        <v>#VALUE!</v>
      </c>
      <c r="Z584" s="836" t="e">
        <f t="shared" si="196"/>
        <v>#VALUE!</v>
      </c>
      <c r="AA584" s="836" t="e">
        <f t="shared" si="197"/>
        <v>#VALUE!</v>
      </c>
    </row>
    <row r="585" spans="1:27">
      <c r="A585" s="162"/>
      <c r="B585" s="258"/>
      <c r="C585" s="140"/>
      <c r="D585" s="140"/>
      <c r="E585" s="140"/>
      <c r="F585" s="140"/>
      <c r="G585" s="140"/>
      <c r="H585" s="140"/>
      <c r="I585" s="140"/>
      <c r="J585" s="163"/>
      <c r="K585" s="163"/>
    </row>
    <row r="586" spans="1:27" ht="16.5" thickBot="1">
      <c r="T586" s="373"/>
      <c r="U586" s="97"/>
    </row>
    <row r="587" spans="1:27" ht="16.5" thickBot="1">
      <c r="B587" s="166" t="s">
        <v>183</v>
      </c>
      <c r="C587" s="167"/>
      <c r="D587" s="167"/>
      <c r="E587" s="168"/>
      <c r="G587" s="97"/>
      <c r="H587" s="97"/>
      <c r="I587" s="97"/>
      <c r="J587" s="97"/>
      <c r="T587" s="97"/>
      <c r="U587" s="97"/>
    </row>
    <row r="588" spans="1:27" ht="15.75" thickBot="1">
      <c r="B588" s="169" t="s">
        <v>184</v>
      </c>
      <c r="C588" s="170" t="s">
        <v>410</v>
      </c>
      <c r="D588" s="170" t="s">
        <v>179</v>
      </c>
      <c r="E588" s="171" t="s">
        <v>176</v>
      </c>
      <c r="G588" s="97"/>
      <c r="H588" s="97"/>
      <c r="I588" s="97"/>
      <c r="J588" s="97"/>
      <c r="T588" s="97"/>
      <c r="U588" s="97"/>
    </row>
    <row r="589" spans="1:27">
      <c r="B589" s="172" t="s">
        <v>185</v>
      </c>
      <c r="C589" s="173"/>
      <c r="D589" s="173"/>
      <c r="E589" s="174"/>
      <c r="G589" s="97"/>
      <c r="H589" s="97"/>
      <c r="I589" s="97"/>
      <c r="J589" s="97"/>
      <c r="T589" s="97"/>
      <c r="U589" s="97"/>
    </row>
    <row r="590" spans="1:27">
      <c r="B590" s="175" t="s">
        <v>186</v>
      </c>
      <c r="C590" s="176">
        <v>4.46</v>
      </c>
      <c r="D590" s="176">
        <v>6.9</v>
      </c>
      <c r="E590" s="177">
        <v>13.2</v>
      </c>
      <c r="G590" s="97"/>
      <c r="H590" s="97"/>
      <c r="I590" s="97"/>
      <c r="J590" s="97"/>
      <c r="T590" s="97"/>
      <c r="U590" s="97"/>
    </row>
    <row r="591" spans="1:27">
      <c r="B591" s="175" t="s">
        <v>187</v>
      </c>
      <c r="C591" s="176">
        <v>5.25</v>
      </c>
      <c r="D591" s="176">
        <v>8.33</v>
      </c>
      <c r="E591" s="177">
        <v>16</v>
      </c>
      <c r="G591" s="97"/>
      <c r="H591" s="97"/>
      <c r="I591" s="97"/>
      <c r="J591" s="97"/>
      <c r="T591" s="97"/>
      <c r="U591" s="97"/>
    </row>
    <row r="592" spans="1:27">
      <c r="B592" s="175" t="s">
        <v>188</v>
      </c>
      <c r="C592" s="178">
        <v>4.8550000000000004</v>
      </c>
      <c r="D592" s="178">
        <f>D590+(D591-D590)/2</f>
        <v>7.6150000000000002</v>
      </c>
      <c r="E592" s="179">
        <f>E590+(E591-E590)/2</f>
        <v>14.6</v>
      </c>
      <c r="G592" s="97"/>
      <c r="H592" s="97"/>
      <c r="I592" s="97"/>
      <c r="J592" s="97"/>
      <c r="T592" s="97"/>
      <c r="U592" s="97"/>
    </row>
    <row r="593" spans="2:21">
      <c r="B593" s="180" t="s">
        <v>189</v>
      </c>
      <c r="C593" s="181" t="s">
        <v>562</v>
      </c>
      <c r="D593" s="181" t="s">
        <v>178</v>
      </c>
      <c r="E593" s="182" t="s">
        <v>175</v>
      </c>
      <c r="G593" s="164"/>
      <c r="T593" s="97"/>
      <c r="U593" s="97"/>
    </row>
    <row r="594" spans="2:21">
      <c r="B594" s="183" t="s">
        <v>190</v>
      </c>
      <c r="C594" s="184">
        <v>0.5</v>
      </c>
      <c r="D594" s="184">
        <v>0.55000000000000004</v>
      </c>
      <c r="E594" s="185">
        <v>0.6</v>
      </c>
      <c r="G594" s="164"/>
      <c r="T594" s="97"/>
      <c r="U594" s="97"/>
    </row>
    <row r="595" spans="2:21">
      <c r="B595" s="183" t="s">
        <v>191</v>
      </c>
      <c r="C595" s="186">
        <v>3</v>
      </c>
      <c r="D595" s="186">
        <v>4.162836506894287</v>
      </c>
      <c r="E595" s="187">
        <v>5.3835616438356162</v>
      </c>
      <c r="G595" s="164"/>
      <c r="T595" s="97"/>
      <c r="U595" s="97"/>
    </row>
    <row r="596" spans="2:21">
      <c r="B596" s="183" t="s">
        <v>192</v>
      </c>
      <c r="C596" s="188">
        <v>1.5</v>
      </c>
      <c r="D596" s="188">
        <v>2.2895600787918582</v>
      </c>
      <c r="E596" s="189">
        <v>3.2301369863013698</v>
      </c>
      <c r="T596" s="97"/>
      <c r="U596" s="97"/>
    </row>
    <row r="597" spans="2:21">
      <c r="B597" s="183" t="s">
        <v>193</v>
      </c>
      <c r="C597" s="190">
        <v>2.5</v>
      </c>
      <c r="D597" s="190">
        <v>2.5</v>
      </c>
      <c r="E597" s="191">
        <v>2.5</v>
      </c>
      <c r="G597" s="395"/>
      <c r="T597" s="97"/>
      <c r="U597" s="97"/>
    </row>
    <row r="598" spans="2:21">
      <c r="B598" s="265"/>
      <c r="C598" s="266"/>
      <c r="D598" s="266"/>
      <c r="E598" s="70"/>
      <c r="F598" s="394"/>
      <c r="G598" s="394"/>
      <c r="T598" s="97"/>
      <c r="U598" s="97"/>
    </row>
    <row r="599" spans="2:21">
      <c r="B599" s="265"/>
      <c r="C599" s="266"/>
      <c r="D599" s="266"/>
      <c r="H599" s="97"/>
      <c r="I599" s="267"/>
      <c r="J599" s="268"/>
      <c r="K599" s="97"/>
      <c r="T599" s="97"/>
      <c r="U599" s="97"/>
    </row>
    <row r="600" spans="2:21">
      <c r="B600" s="265"/>
      <c r="C600" s="266"/>
      <c r="D600" s="266"/>
      <c r="H600" s="97"/>
      <c r="I600" s="267"/>
      <c r="J600" s="268"/>
      <c r="K600" s="97"/>
      <c r="T600" s="97"/>
      <c r="U600" s="97"/>
    </row>
    <row r="601" spans="2:21" ht="14.25" customHeight="1" thickBot="1"/>
    <row r="602" spans="2:21" ht="16.5" thickBot="1">
      <c r="B602" s="166" t="s">
        <v>194</v>
      </c>
      <c r="C602" s="167"/>
      <c r="D602" s="168"/>
      <c r="F602" s="1169" t="s">
        <v>203</v>
      </c>
      <c r="G602" s="1170"/>
      <c r="H602" s="1170"/>
      <c r="I602" s="1170"/>
      <c r="J602" s="1170"/>
      <c r="K602" s="1171"/>
    </row>
    <row r="603" spans="2:21" ht="15.75" thickBot="1">
      <c r="B603" s="169" t="s">
        <v>184</v>
      </c>
      <c r="C603" s="170" t="s">
        <v>178</v>
      </c>
      <c r="D603" s="171" t="s">
        <v>175</v>
      </c>
      <c r="F603" s="1172"/>
      <c r="G603" s="1173"/>
      <c r="H603" s="1173"/>
      <c r="I603" s="1173"/>
      <c r="J603" s="1173"/>
      <c r="K603" s="1174"/>
    </row>
    <row r="604" spans="2:21" ht="30" customHeight="1" thickBot="1">
      <c r="B604" s="172" t="s">
        <v>195</v>
      </c>
      <c r="C604" s="192">
        <v>53506</v>
      </c>
      <c r="D604" s="193">
        <v>111575</v>
      </c>
      <c r="F604" s="219" t="s">
        <v>205</v>
      </c>
      <c r="G604" s="220" t="s">
        <v>206</v>
      </c>
      <c r="H604" s="428" t="s">
        <v>207</v>
      </c>
      <c r="I604" s="221" t="s">
        <v>209</v>
      </c>
      <c r="J604" s="429" t="s">
        <v>208</v>
      </c>
      <c r="K604" s="221" t="s">
        <v>209</v>
      </c>
    </row>
    <row r="605" spans="2:21">
      <c r="B605" s="194" t="s">
        <v>196</v>
      </c>
      <c r="C605" s="195">
        <v>17200</v>
      </c>
      <c r="D605" s="196">
        <v>36788</v>
      </c>
      <c r="F605" s="225" t="s">
        <v>132</v>
      </c>
      <c r="G605" s="226">
        <v>3300</v>
      </c>
      <c r="H605" s="409">
        <v>87945</v>
      </c>
      <c r="I605" s="414">
        <f t="shared" ref="I605:I617" si="198">H605+70706</f>
        <v>158651</v>
      </c>
      <c r="J605" s="407">
        <v>220440</v>
      </c>
      <c r="K605" s="417">
        <f t="shared" ref="K605:K617" si="199">J605+148363</f>
        <v>368803</v>
      </c>
    </row>
    <row r="606" spans="2:21">
      <c r="B606" s="194" t="s">
        <v>197</v>
      </c>
      <c r="C606" s="195"/>
      <c r="D606" s="196"/>
      <c r="F606" s="232" t="s">
        <v>43</v>
      </c>
      <c r="G606" s="233">
        <v>2900</v>
      </c>
      <c r="H606" s="410">
        <v>77285</v>
      </c>
      <c r="I606" s="415">
        <f t="shared" si="198"/>
        <v>147991</v>
      </c>
      <c r="J606" s="239">
        <v>193720</v>
      </c>
      <c r="K606" s="418">
        <f t="shared" si="199"/>
        <v>342083</v>
      </c>
    </row>
    <row r="607" spans="2:21">
      <c r="B607" s="194" t="s">
        <v>198</v>
      </c>
      <c r="C607" s="195">
        <v>70706</v>
      </c>
      <c r="D607" s="196">
        <v>148363</v>
      </c>
      <c r="F607" s="232" t="s">
        <v>133</v>
      </c>
      <c r="G607" s="233">
        <v>2800</v>
      </c>
      <c r="H607" s="410">
        <v>74620</v>
      </c>
      <c r="I607" s="415">
        <f t="shared" si="198"/>
        <v>145326</v>
      </c>
      <c r="J607" s="239">
        <v>187040</v>
      </c>
      <c r="K607" s="418">
        <f t="shared" si="199"/>
        <v>335403</v>
      </c>
    </row>
    <row r="608" spans="2:21">
      <c r="B608" s="194" t="s">
        <v>185</v>
      </c>
      <c r="C608" s="197"/>
      <c r="D608" s="198"/>
      <c r="F608" s="232" t="s">
        <v>161</v>
      </c>
      <c r="G608" s="233">
        <v>2700</v>
      </c>
      <c r="H608" s="410">
        <v>71955</v>
      </c>
      <c r="I608" s="415">
        <f t="shared" si="198"/>
        <v>142661</v>
      </c>
      <c r="J608" s="239">
        <v>180360</v>
      </c>
      <c r="K608" s="418">
        <f t="shared" si="199"/>
        <v>328723</v>
      </c>
    </row>
    <row r="609" spans="2:29">
      <c r="B609" s="175" t="s">
        <v>186</v>
      </c>
      <c r="C609" s="199">
        <v>21.6</v>
      </c>
      <c r="D609" s="200">
        <v>55</v>
      </c>
      <c r="F609" s="232" t="s">
        <v>163</v>
      </c>
      <c r="G609" s="233">
        <v>2700</v>
      </c>
      <c r="H609" s="410">
        <v>78300</v>
      </c>
      <c r="I609" s="415">
        <f t="shared" si="198"/>
        <v>149006</v>
      </c>
      <c r="J609" s="239">
        <v>178900</v>
      </c>
      <c r="K609" s="418">
        <f t="shared" si="199"/>
        <v>327263</v>
      </c>
    </row>
    <row r="610" spans="2:29">
      <c r="B610" s="175" t="s">
        <v>187</v>
      </c>
      <c r="C610" s="199">
        <v>31.7</v>
      </c>
      <c r="D610" s="200">
        <v>78.599999999999994</v>
      </c>
      <c r="F610" s="232" t="s">
        <v>135</v>
      </c>
      <c r="G610" s="233">
        <v>2600</v>
      </c>
      <c r="H610" s="410">
        <v>69290</v>
      </c>
      <c r="I610" s="415">
        <f t="shared" si="198"/>
        <v>139996</v>
      </c>
      <c r="J610" s="239">
        <v>173680</v>
      </c>
      <c r="K610" s="418">
        <f t="shared" si="199"/>
        <v>322043</v>
      </c>
    </row>
    <row r="611" spans="2:29">
      <c r="B611" s="175" t="s">
        <v>188</v>
      </c>
      <c r="C611" s="178">
        <f>C609+(C610-C609)/2</f>
        <v>26.65</v>
      </c>
      <c r="D611" s="200">
        <f>D609+(D610-D609)/2</f>
        <v>66.8</v>
      </c>
      <c r="F611" s="236" t="s">
        <v>210</v>
      </c>
      <c r="G611" s="233">
        <v>2600</v>
      </c>
      <c r="H611" s="410">
        <v>69290</v>
      </c>
      <c r="I611" s="415">
        <f t="shared" si="198"/>
        <v>139996</v>
      </c>
      <c r="J611" s="239">
        <v>173680</v>
      </c>
      <c r="K611" s="418">
        <f t="shared" si="199"/>
        <v>322043</v>
      </c>
    </row>
    <row r="612" spans="2:29">
      <c r="B612" s="183" t="s">
        <v>413</v>
      </c>
      <c r="C612" s="201">
        <v>48</v>
      </c>
      <c r="D612" s="202">
        <v>39.9</v>
      </c>
      <c r="F612" s="232" t="s">
        <v>30</v>
      </c>
      <c r="G612" s="233">
        <v>2550</v>
      </c>
      <c r="H612" s="410">
        <v>67957.5</v>
      </c>
      <c r="I612" s="415">
        <f t="shared" si="198"/>
        <v>138663.5</v>
      </c>
      <c r="J612" s="239">
        <v>170340</v>
      </c>
      <c r="K612" s="418">
        <f t="shared" si="199"/>
        <v>318703</v>
      </c>
    </row>
    <row r="613" spans="2:29">
      <c r="B613" s="183" t="s">
        <v>199</v>
      </c>
      <c r="C613" s="203">
        <v>0.7</v>
      </c>
      <c r="D613" s="204">
        <v>0.7</v>
      </c>
      <c r="F613" s="232" t="s">
        <v>134</v>
      </c>
      <c r="G613" s="233">
        <v>2550</v>
      </c>
      <c r="H613" s="410">
        <v>67957.5</v>
      </c>
      <c r="I613" s="415">
        <f t="shared" si="198"/>
        <v>138663.5</v>
      </c>
      <c r="J613" s="239">
        <v>170340</v>
      </c>
      <c r="K613" s="418">
        <f t="shared" si="199"/>
        <v>318703</v>
      </c>
      <c r="AC613" s="434"/>
    </row>
    <row r="614" spans="2:29">
      <c r="B614" s="183" t="s">
        <v>200</v>
      </c>
      <c r="C614" s="203">
        <v>1.1000000000000001</v>
      </c>
      <c r="D614" s="204">
        <v>1.1000000000000001</v>
      </c>
      <c r="F614" s="232" t="s">
        <v>100</v>
      </c>
      <c r="G614" s="233">
        <v>2500</v>
      </c>
      <c r="H614" s="410">
        <v>66625</v>
      </c>
      <c r="I614" s="415">
        <f t="shared" si="198"/>
        <v>137331</v>
      </c>
      <c r="J614" s="239">
        <v>167000</v>
      </c>
      <c r="K614" s="418">
        <f t="shared" si="199"/>
        <v>315363</v>
      </c>
      <c r="AC614" s="434"/>
    </row>
    <row r="615" spans="2:29">
      <c r="B615" s="183" t="s">
        <v>126</v>
      </c>
      <c r="C615" s="205">
        <f>50/60</f>
        <v>0.83333333333333337</v>
      </c>
      <c r="D615" s="206">
        <f>50/60</f>
        <v>0.83333333333333337</v>
      </c>
      <c r="F615" s="237" t="s">
        <v>162</v>
      </c>
      <c r="G615" s="238">
        <v>2400</v>
      </c>
      <c r="H615" s="410">
        <v>69600</v>
      </c>
      <c r="I615" s="415">
        <f t="shared" si="198"/>
        <v>140306</v>
      </c>
      <c r="J615" s="239">
        <v>170200</v>
      </c>
      <c r="K615" s="418">
        <f t="shared" si="199"/>
        <v>318563</v>
      </c>
      <c r="AC615" s="434"/>
    </row>
    <row r="616" spans="2:29">
      <c r="B616" s="183" t="s">
        <v>193</v>
      </c>
      <c r="C616" s="190">
        <v>2.5</v>
      </c>
      <c r="D616" s="191">
        <v>2.5</v>
      </c>
      <c r="F616" s="237" t="s">
        <v>108</v>
      </c>
      <c r="G616" s="238">
        <v>2100</v>
      </c>
      <c r="H616" s="410">
        <v>55965</v>
      </c>
      <c r="I616" s="415">
        <f t="shared" si="198"/>
        <v>126671</v>
      </c>
      <c r="J616" s="239">
        <v>140280</v>
      </c>
      <c r="K616" s="418">
        <f t="shared" si="199"/>
        <v>288643</v>
      </c>
    </row>
    <row r="617" spans="2:29" ht="15.75" thickBot="1">
      <c r="B617" s="207"/>
      <c r="C617" s="208"/>
      <c r="D617" s="209"/>
      <c r="F617" s="244" t="s">
        <v>164</v>
      </c>
      <c r="G617" s="245">
        <v>1600</v>
      </c>
      <c r="H617" s="411">
        <v>42640</v>
      </c>
      <c r="I617" s="416">
        <f t="shared" si="198"/>
        <v>113346</v>
      </c>
      <c r="J617" s="408">
        <v>106880</v>
      </c>
      <c r="K617" s="419">
        <f t="shared" si="199"/>
        <v>255243</v>
      </c>
    </row>
    <row r="618" spans="2:29">
      <c r="B618" s="210"/>
      <c r="C618" s="211"/>
      <c r="D618" s="212"/>
      <c r="F618" s="420"/>
      <c r="G618" s="117"/>
      <c r="H618" s="117"/>
      <c r="I618" s="259"/>
      <c r="J618" s="117"/>
      <c r="K618" s="421"/>
    </row>
    <row r="619" spans="2:29">
      <c r="B619" s="1106" t="s">
        <v>201</v>
      </c>
      <c r="C619" s="1107"/>
      <c r="D619" s="1108"/>
      <c r="F619" s="253"/>
      <c r="G619" s="254"/>
      <c r="H619" s="130"/>
      <c r="I619" s="97"/>
      <c r="J619" s="130"/>
      <c r="K619" s="260"/>
    </row>
    <row r="620" spans="2:29" ht="15.75" thickBot="1">
      <c r="B620" s="213"/>
      <c r="C620" s="214"/>
      <c r="D620" s="215"/>
      <c r="F620" s="255"/>
      <c r="G620" s="256"/>
      <c r="H620" s="133"/>
      <c r="I620" s="93"/>
      <c r="J620" s="422"/>
      <c r="K620" s="261"/>
    </row>
    <row r="621" spans="2:29" ht="15.75" thickBot="1">
      <c r="B621" s="216"/>
      <c r="C621" s="217"/>
      <c r="D621" s="218" t="s">
        <v>202</v>
      </c>
    </row>
    <row r="623" spans="2:29">
      <c r="B623" s="292" t="s">
        <v>165</v>
      </c>
      <c r="C623" s="281"/>
      <c r="E623" s="1181" t="s">
        <v>556</v>
      </c>
      <c r="F623" s="1182"/>
      <c r="H623" s="908" t="s">
        <v>624</v>
      </c>
      <c r="I623" s="274"/>
      <c r="J623" s="274"/>
      <c r="K623" s="274"/>
      <c r="L623" s="274"/>
      <c r="M623" s="274"/>
      <c r="N623" s="275"/>
    </row>
    <row r="624" spans="2:29">
      <c r="B624" s="271"/>
      <c r="C624" s="276"/>
      <c r="E624" s="1183"/>
      <c r="F624" s="1184"/>
      <c r="H624" s="271"/>
      <c r="I624" s="97"/>
      <c r="J624" s="97"/>
      <c r="K624" s="97"/>
      <c r="L624" s="97"/>
      <c r="M624" s="97"/>
      <c r="N624" s="276"/>
    </row>
    <row r="625" spans="2:14">
      <c r="B625" s="271" t="s">
        <v>512</v>
      </c>
      <c r="C625" s="553">
        <v>1</v>
      </c>
      <c r="E625" s="1143">
        <v>1</v>
      </c>
      <c r="F625" s="1144"/>
      <c r="H625" s="282"/>
      <c r="I625" s="32" t="s">
        <v>158</v>
      </c>
      <c r="J625" s="909" t="s">
        <v>157</v>
      </c>
      <c r="K625" s="32" t="s">
        <v>156</v>
      </c>
      <c r="L625" s="909" t="s">
        <v>155</v>
      </c>
      <c r="M625" s="909" t="s">
        <v>154</v>
      </c>
      <c r="N625" s="910" t="s">
        <v>153</v>
      </c>
    </row>
    <row r="626" spans="2:14">
      <c r="B626" s="271" t="s">
        <v>625</v>
      </c>
      <c r="C626" s="914">
        <v>1.2</v>
      </c>
      <c r="E626" s="1128">
        <v>1.2</v>
      </c>
      <c r="F626" s="1129"/>
      <c r="H626" s="282"/>
      <c r="I626" s="97"/>
      <c r="J626" s="283"/>
      <c r="K626" s="97"/>
      <c r="L626" s="283"/>
      <c r="M626" s="283"/>
      <c r="N626" s="276"/>
    </row>
    <row r="627" spans="2:14">
      <c r="B627" s="277" t="s">
        <v>43</v>
      </c>
      <c r="C627" s="553">
        <v>0.79</v>
      </c>
      <c r="E627" s="1149">
        <v>0.79</v>
      </c>
      <c r="F627" s="1150"/>
      <c r="H627" s="284" t="s">
        <v>159</v>
      </c>
      <c r="I627" s="97">
        <v>101029</v>
      </c>
      <c r="J627" s="283">
        <v>22719</v>
      </c>
      <c r="K627" s="97">
        <v>115087</v>
      </c>
      <c r="L627" s="283">
        <v>89889</v>
      </c>
      <c r="M627" s="283">
        <v>81639</v>
      </c>
      <c r="N627" s="276">
        <v>185082</v>
      </c>
    </row>
    <row r="628" spans="2:14">
      <c r="B628" s="295" t="s">
        <v>225</v>
      </c>
      <c r="C628" s="554">
        <v>0.85</v>
      </c>
      <c r="E628" s="1130">
        <v>0.85</v>
      </c>
      <c r="F628" s="1131"/>
      <c r="H628" s="284" t="s">
        <v>160</v>
      </c>
      <c r="I628" s="97">
        <v>-1.1506000000000001</v>
      </c>
      <c r="J628" s="283">
        <v>-0.77959999999999996</v>
      </c>
      <c r="K628" s="97">
        <v>-1.0809</v>
      </c>
      <c r="L628" s="283">
        <v>-0.9425</v>
      </c>
      <c r="M628" s="283">
        <v>-0.85019999999999996</v>
      </c>
      <c r="N628" s="276">
        <v>-0.91900000000000004</v>
      </c>
    </row>
    <row r="629" spans="2:14">
      <c r="B629" s="907" t="s">
        <v>226</v>
      </c>
      <c r="C629" s="554">
        <v>0.82</v>
      </c>
      <c r="E629" s="1185">
        <v>0.82</v>
      </c>
      <c r="F629" s="1186"/>
      <c r="H629" s="282"/>
      <c r="I629" s="97"/>
      <c r="J629" s="283"/>
      <c r="K629" s="97"/>
      <c r="L629" s="283"/>
      <c r="M629" s="283"/>
      <c r="N629" s="276"/>
    </row>
    <row r="630" spans="2:14">
      <c r="B630" s="277" t="s">
        <v>132</v>
      </c>
      <c r="C630" s="553">
        <v>0.7</v>
      </c>
      <c r="E630" s="1187">
        <v>0.7</v>
      </c>
      <c r="F630" s="1188"/>
      <c r="H630" s="282">
        <v>50</v>
      </c>
      <c r="I630" s="285">
        <f t="shared" ref="I630:N636" si="200">I$627*$H630^I$628</f>
        <v>1121.0143379114111</v>
      </c>
      <c r="J630" s="286">
        <f t="shared" si="200"/>
        <v>1076.1484789060548</v>
      </c>
      <c r="K630" s="285">
        <f t="shared" si="200"/>
        <v>1677.2955380494534</v>
      </c>
      <c r="L630" s="286">
        <f t="shared" si="200"/>
        <v>2251.2686307273439</v>
      </c>
      <c r="M630" s="286">
        <f t="shared" si="200"/>
        <v>2933.8194179549546</v>
      </c>
      <c r="N630" s="287">
        <f t="shared" si="200"/>
        <v>5081.7202092065745</v>
      </c>
    </row>
    <row r="631" spans="2:14">
      <c r="B631" s="277" t="s">
        <v>133</v>
      </c>
      <c r="C631" s="553">
        <v>0.81989999999999996</v>
      </c>
      <c r="E631" s="1132">
        <v>0.82</v>
      </c>
      <c r="F631" s="1133"/>
      <c r="H631" s="282">
        <v>100</v>
      </c>
      <c r="I631" s="285">
        <f t="shared" si="200"/>
        <v>504.94729996495875</v>
      </c>
      <c r="J631" s="286">
        <f t="shared" si="200"/>
        <v>626.88692457318007</v>
      </c>
      <c r="K631" s="285">
        <f t="shared" si="200"/>
        <v>792.91433477307567</v>
      </c>
      <c r="L631" s="286">
        <f t="shared" si="200"/>
        <v>1171.4035854829865</v>
      </c>
      <c r="M631" s="286">
        <f t="shared" si="200"/>
        <v>1627.4126084304783</v>
      </c>
      <c r="N631" s="287">
        <f t="shared" si="200"/>
        <v>2687.5972240637434</v>
      </c>
    </row>
    <row r="632" spans="2:14">
      <c r="B632" s="277" t="s">
        <v>30</v>
      </c>
      <c r="C632" s="553">
        <v>0.9</v>
      </c>
      <c r="E632" s="1134">
        <v>0.9</v>
      </c>
      <c r="F632" s="1135"/>
      <c r="H632" s="282">
        <v>200</v>
      </c>
      <c r="I632" s="285">
        <f t="shared" si="200"/>
        <v>227.44738146431439</v>
      </c>
      <c r="J632" s="286">
        <f t="shared" si="200"/>
        <v>365.17936316771682</v>
      </c>
      <c r="K632" s="285">
        <f t="shared" si="200"/>
        <v>374.83742609830597</v>
      </c>
      <c r="L632" s="286">
        <f t="shared" si="200"/>
        <v>609.51693696325822</v>
      </c>
      <c r="M632" s="286">
        <f t="shared" si="200"/>
        <v>902.73851957958504</v>
      </c>
      <c r="N632" s="287">
        <f t="shared" si="200"/>
        <v>1421.4042767858182</v>
      </c>
    </row>
    <row r="633" spans="2:14">
      <c r="B633" s="277" t="s">
        <v>135</v>
      </c>
      <c r="C633" s="553">
        <v>0.88</v>
      </c>
      <c r="E633" s="1124">
        <v>0.88</v>
      </c>
      <c r="F633" s="1125"/>
      <c r="H633" s="282">
        <v>300</v>
      </c>
      <c r="I633" s="285">
        <f t="shared" si="200"/>
        <v>142.64952787546761</v>
      </c>
      <c r="J633" s="286">
        <f t="shared" si="200"/>
        <v>266.21068403931389</v>
      </c>
      <c r="K633" s="285">
        <f t="shared" si="200"/>
        <v>241.82762191512822</v>
      </c>
      <c r="L633" s="286">
        <f t="shared" si="200"/>
        <v>415.92954063155599</v>
      </c>
      <c r="M633" s="286">
        <f t="shared" si="200"/>
        <v>639.51271784989069</v>
      </c>
      <c r="N633" s="287">
        <f t="shared" si="200"/>
        <v>979.24136534984711</v>
      </c>
    </row>
    <row r="634" spans="2:14">
      <c r="B634" s="277" t="s">
        <v>134</v>
      </c>
      <c r="C634" s="553">
        <v>0.89990000000000003</v>
      </c>
      <c r="E634" s="1122">
        <v>0.9</v>
      </c>
      <c r="F634" s="1123"/>
      <c r="H634" s="282">
        <v>400</v>
      </c>
      <c r="I634" s="285">
        <f t="shared" si="200"/>
        <v>102.45091188439537</v>
      </c>
      <c r="J634" s="286">
        <f t="shared" si="200"/>
        <v>212.72730704085978</v>
      </c>
      <c r="K634" s="285">
        <f t="shared" si="200"/>
        <v>177.19833006199019</v>
      </c>
      <c r="L634" s="286">
        <f t="shared" si="200"/>
        <v>317.15021282941746</v>
      </c>
      <c r="M634" s="286">
        <f t="shared" si="200"/>
        <v>500.75612694108827</v>
      </c>
      <c r="N634" s="287">
        <f t="shared" si="200"/>
        <v>751.74587173077612</v>
      </c>
    </row>
    <row r="635" spans="2:14">
      <c r="B635" s="277" t="s">
        <v>108</v>
      </c>
      <c r="C635" s="553">
        <v>1.1000000000000001</v>
      </c>
      <c r="E635" s="1145">
        <v>1.1000000000000001</v>
      </c>
      <c r="F635" s="1146"/>
      <c r="H635" s="282">
        <v>500</v>
      </c>
      <c r="I635" s="285">
        <f t="shared" si="200"/>
        <v>79.252170887001839</v>
      </c>
      <c r="J635" s="286">
        <f t="shared" si="200"/>
        <v>178.76076155260409</v>
      </c>
      <c r="K635" s="285">
        <f t="shared" si="200"/>
        <v>139.22255244683708</v>
      </c>
      <c r="L635" s="286">
        <f t="shared" si="200"/>
        <v>256.99656576778506</v>
      </c>
      <c r="M635" s="286">
        <f t="shared" si="200"/>
        <v>414.22220739445623</v>
      </c>
      <c r="N635" s="287">
        <f t="shared" si="200"/>
        <v>612.36554910076154</v>
      </c>
    </row>
    <row r="636" spans="2:14">
      <c r="B636" s="277" t="s">
        <v>161</v>
      </c>
      <c r="C636" s="555">
        <v>0.84989999999999999</v>
      </c>
      <c r="E636" s="1147">
        <v>0.85</v>
      </c>
      <c r="F636" s="1148"/>
      <c r="H636" s="288">
        <v>600</v>
      </c>
      <c r="I636" s="289">
        <f t="shared" si="200"/>
        <v>64.254748138364889</v>
      </c>
      <c r="J636" s="290">
        <f t="shared" si="200"/>
        <v>155.07525241830189</v>
      </c>
      <c r="K636" s="289">
        <f t="shared" si="200"/>
        <v>114.32009661432454</v>
      </c>
      <c r="L636" s="290">
        <f t="shared" si="200"/>
        <v>216.42079872391079</v>
      </c>
      <c r="M636" s="290">
        <f t="shared" si="200"/>
        <v>354.7427131714947</v>
      </c>
      <c r="N636" s="291">
        <f t="shared" si="200"/>
        <v>517.89674890691288</v>
      </c>
    </row>
    <row r="637" spans="2:14">
      <c r="B637" s="293" t="s">
        <v>164</v>
      </c>
      <c r="C637" s="556">
        <v>1.44</v>
      </c>
      <c r="E637" s="1126">
        <v>1.44</v>
      </c>
      <c r="F637" s="1127"/>
      <c r="I637" s="121"/>
      <c r="J637" s="121"/>
      <c r="K637" s="121"/>
      <c r="L637" s="130"/>
      <c r="M637" s="121"/>
      <c r="N637" s="100"/>
    </row>
    <row r="638" spans="2:14">
      <c r="I638" s="121"/>
      <c r="J638" s="121"/>
      <c r="K638" s="121"/>
      <c r="L638" s="130"/>
      <c r="M638" s="121"/>
      <c r="N638" s="100"/>
    </row>
    <row r="639" spans="2:14">
      <c r="I639" s="100"/>
      <c r="J639" s="121"/>
      <c r="K639" s="121"/>
      <c r="L639" s="130"/>
      <c r="M639" s="121"/>
      <c r="N639" s="100"/>
    </row>
    <row r="642" spans="2:15">
      <c r="B642" s="273" t="s">
        <v>116</v>
      </c>
      <c r="C642" s="274"/>
      <c r="D642" s="274"/>
      <c r="E642" s="274"/>
      <c r="F642" s="274"/>
      <c r="G642" s="274"/>
      <c r="H642" s="275"/>
      <c r="J642" s="487" t="s">
        <v>101</v>
      </c>
      <c r="K642" s="494"/>
      <c r="L642" s="518" t="s">
        <v>290</v>
      </c>
      <c r="M642" s="1059" t="s">
        <v>646</v>
      </c>
      <c r="N642" s="275"/>
      <c r="O642" s="121"/>
    </row>
    <row r="643" spans="2:15">
      <c r="B643" s="271"/>
      <c r="C643" s="97"/>
      <c r="D643" s="97"/>
      <c r="E643" s="97"/>
      <c r="F643" s="97"/>
      <c r="G643" s="97"/>
      <c r="H643" s="276"/>
      <c r="J643" s="488" t="s">
        <v>102</v>
      </c>
      <c r="K643" s="495" t="s">
        <v>268</v>
      </c>
      <c r="L643" s="495"/>
      <c r="M643" s="271" t="s">
        <v>620</v>
      </c>
      <c r="N643" s="276"/>
      <c r="O643" s="121"/>
    </row>
    <row r="644" spans="2:15">
      <c r="B644" s="277" t="s">
        <v>215</v>
      </c>
      <c r="C644" s="97"/>
      <c r="D644" s="97"/>
      <c r="E644" s="97"/>
      <c r="F644" s="97"/>
      <c r="G644" s="97"/>
      <c r="H644" s="276"/>
      <c r="J644" s="488" t="s">
        <v>103</v>
      </c>
      <c r="K644" s="495" t="s">
        <v>266</v>
      </c>
      <c r="L644" s="516" t="s">
        <v>267</v>
      </c>
      <c r="M644" s="271" t="s">
        <v>435</v>
      </c>
      <c r="N644" s="276"/>
      <c r="O644" s="121"/>
    </row>
    <row r="645" spans="2:15">
      <c r="B645" s="277" t="s">
        <v>607</v>
      </c>
      <c r="C645" s="97"/>
      <c r="D645" s="97"/>
      <c r="E645" s="97"/>
      <c r="F645" s="97"/>
      <c r="G645" s="97"/>
      <c r="H645" s="276"/>
      <c r="J645" s="490" t="s">
        <v>104</v>
      </c>
      <c r="K645" s="496"/>
      <c r="L645" s="516" t="s">
        <v>291</v>
      </c>
      <c r="M645" s="271" t="s">
        <v>641</v>
      </c>
      <c r="N645" s="276"/>
      <c r="O645" s="121"/>
    </row>
    <row r="646" spans="2:15">
      <c r="B646" s="277" t="s">
        <v>608</v>
      </c>
      <c r="C646" s="97"/>
      <c r="D646" s="97"/>
      <c r="E646" s="97"/>
      <c r="F646" s="97"/>
      <c r="G646" s="97"/>
      <c r="H646" s="276"/>
      <c r="J646" s="487" t="s">
        <v>520</v>
      </c>
      <c r="K646" s="904"/>
      <c r="L646" s="516" t="s">
        <v>292</v>
      </c>
      <c r="M646" s="278" t="s">
        <v>642</v>
      </c>
      <c r="N646" s="276"/>
      <c r="O646" s="121"/>
    </row>
    <row r="647" spans="2:15">
      <c r="B647" s="278" t="s">
        <v>216</v>
      </c>
      <c r="C647" s="97"/>
      <c r="D647" s="97"/>
      <c r="E647" s="97"/>
      <c r="F647" s="97"/>
      <c r="G647" s="97"/>
      <c r="H647" s="276"/>
      <c r="J647" s="913"/>
      <c r="L647" s="516" t="s">
        <v>492</v>
      </c>
      <c r="M647" s="1052" t="s">
        <v>643</v>
      </c>
      <c r="N647" s="264"/>
      <c r="O647" s="121"/>
    </row>
    <row r="648" spans="2:15">
      <c r="B648" s="278" t="s">
        <v>217</v>
      </c>
      <c r="C648" s="97"/>
      <c r="D648" s="97"/>
      <c r="E648" s="97"/>
      <c r="F648" s="97"/>
      <c r="G648" s="97"/>
      <c r="H648" s="276"/>
      <c r="J648" s="489" t="s">
        <v>514</v>
      </c>
      <c r="K648" s="911"/>
      <c r="L648" s="516" t="s">
        <v>293</v>
      </c>
      <c r="M648" s="1060" t="s">
        <v>647</v>
      </c>
      <c r="N648" s="1057"/>
      <c r="O648" s="121"/>
    </row>
    <row r="649" spans="2:15">
      <c r="B649" s="271"/>
      <c r="C649" s="97"/>
      <c r="D649" s="97"/>
      <c r="E649" s="97"/>
      <c r="F649" s="97"/>
      <c r="G649" s="97"/>
      <c r="H649" s="276"/>
      <c r="J649" s="490" t="s">
        <v>515</v>
      </c>
      <c r="K649" s="912"/>
      <c r="L649" s="516" t="s">
        <v>294</v>
      </c>
      <c r="M649" s="271" t="s">
        <v>620</v>
      </c>
      <c r="N649" s="1057"/>
      <c r="O649" s="121"/>
    </row>
    <row r="650" spans="2:15" ht="15.75">
      <c r="B650" s="278" t="s">
        <v>219</v>
      </c>
      <c r="C650" s="97"/>
      <c r="D650" s="97"/>
      <c r="E650" s="97"/>
      <c r="F650" s="97"/>
      <c r="G650" s="97"/>
      <c r="H650" s="276"/>
      <c r="J650" s="518" t="s">
        <v>503</v>
      </c>
      <c r="K650" s="491" t="s">
        <v>236</v>
      </c>
      <c r="L650" s="516" t="s">
        <v>295</v>
      </c>
      <c r="M650" s="278" t="s">
        <v>435</v>
      </c>
      <c r="N650" s="1058"/>
      <c r="O650" s="121"/>
    </row>
    <row r="651" spans="2:15">
      <c r="B651" s="278" t="s">
        <v>220</v>
      </c>
      <c r="C651" s="97">
        <v>0.75</v>
      </c>
      <c r="D651" s="97"/>
      <c r="E651" s="97"/>
      <c r="F651" s="97"/>
      <c r="G651" s="97"/>
      <c r="H651" s="276"/>
      <c r="J651" s="519"/>
      <c r="K651" s="485"/>
      <c r="L651" s="516" t="s">
        <v>296</v>
      </c>
      <c r="M651" s="278" t="s">
        <v>642</v>
      </c>
      <c r="N651" s="1057"/>
      <c r="O651" s="121"/>
    </row>
    <row r="652" spans="2:15">
      <c r="B652" s="278" t="s">
        <v>205</v>
      </c>
      <c r="C652" s="97">
        <v>1.2</v>
      </c>
      <c r="D652" s="97"/>
      <c r="E652" s="97"/>
      <c r="F652" s="97"/>
      <c r="G652" s="97"/>
      <c r="H652" s="276"/>
      <c r="J652" s="516" t="s">
        <v>494</v>
      </c>
      <c r="K652" s="485" t="s">
        <v>504</v>
      </c>
      <c r="L652" s="517" t="s">
        <v>502</v>
      </c>
      <c r="M652" s="1052" t="s">
        <v>643</v>
      </c>
      <c r="N652" s="1053"/>
      <c r="O652" s="121"/>
    </row>
    <row r="653" spans="2:15">
      <c r="B653" s="278" t="s">
        <v>126</v>
      </c>
      <c r="C653" s="97">
        <v>0.83</v>
      </c>
      <c r="D653" s="97"/>
      <c r="E653" s="97"/>
      <c r="F653" s="97"/>
      <c r="G653" s="97"/>
      <c r="H653" s="276"/>
      <c r="J653" s="517" t="s">
        <v>495</v>
      </c>
      <c r="K653" s="486" t="s">
        <v>500</v>
      </c>
      <c r="M653" s="121"/>
      <c r="N653" s="121"/>
      <c r="O653" s="121"/>
    </row>
    <row r="654" spans="2:15">
      <c r="B654" s="278" t="s">
        <v>221</v>
      </c>
      <c r="C654" s="97">
        <v>1</v>
      </c>
      <c r="D654" s="97"/>
      <c r="E654" s="97"/>
      <c r="F654" s="97"/>
      <c r="G654" s="97"/>
      <c r="H654" s="276"/>
    </row>
    <row r="655" spans="2:15">
      <c r="B655" s="278" t="s">
        <v>223</v>
      </c>
      <c r="C655" s="97">
        <v>0.96</v>
      </c>
      <c r="D655" s="97"/>
      <c r="E655" s="97"/>
      <c r="F655" s="97"/>
      <c r="G655" s="97"/>
      <c r="H655" s="276"/>
    </row>
    <row r="656" spans="2:15" ht="15" customHeight="1">
      <c r="B656" s="279" t="s">
        <v>222</v>
      </c>
      <c r="C656" s="280">
        <f>C651*C652*C653*C654*C655</f>
        <v>0.71711999999999987</v>
      </c>
      <c r="D656" s="263"/>
      <c r="E656" s="263"/>
      <c r="F656" s="263"/>
      <c r="G656" s="263"/>
      <c r="H656" s="264"/>
    </row>
    <row r="657" spans="2:14" ht="15" customHeight="1"/>
    <row r="658" spans="2:14" ht="15" customHeight="1"/>
    <row r="659" spans="2:14" ht="27" customHeight="1">
      <c r="B659" s="501" t="s">
        <v>374</v>
      </c>
      <c r="D659" s="500" t="s">
        <v>244</v>
      </c>
      <c r="F659" s="498" t="s">
        <v>484</v>
      </c>
      <c r="H659" s="502" t="s">
        <v>288</v>
      </c>
      <c r="J659" s="498" t="s">
        <v>483</v>
      </c>
      <c r="L659" s="491" t="s">
        <v>391</v>
      </c>
      <c r="N659" s="1046" t="s">
        <v>631</v>
      </c>
    </row>
    <row r="660" spans="2:14" ht="15" customHeight="1">
      <c r="B660" s="488" t="s">
        <v>476</v>
      </c>
      <c r="D660" s="499"/>
      <c r="F660" s="488"/>
      <c r="H660" s="492" t="s">
        <v>479</v>
      </c>
      <c r="J660" s="497"/>
      <c r="L660" s="488"/>
      <c r="N660" s="913" t="s">
        <v>637</v>
      </c>
    </row>
    <row r="661" spans="2:14" ht="15" customHeight="1">
      <c r="B661" s="488" t="s">
        <v>475</v>
      </c>
      <c r="D661" s="483"/>
      <c r="F661" s="488" t="s">
        <v>157</v>
      </c>
      <c r="H661" s="492" t="s">
        <v>480</v>
      </c>
      <c r="J661" s="488" t="s">
        <v>410</v>
      </c>
      <c r="L661" s="488" t="s">
        <v>157</v>
      </c>
      <c r="N661" s="913" t="s">
        <v>634</v>
      </c>
    </row>
    <row r="662" spans="2:14" ht="15" customHeight="1">
      <c r="B662" s="488" t="s">
        <v>477</v>
      </c>
      <c r="D662" s="483" t="s">
        <v>476</v>
      </c>
      <c r="F662" s="488" t="s">
        <v>155</v>
      </c>
      <c r="H662" s="493" t="s">
        <v>481</v>
      </c>
      <c r="J662" s="488" t="s">
        <v>179</v>
      </c>
      <c r="L662" s="488" t="s">
        <v>155</v>
      </c>
      <c r="N662" s="913" t="s">
        <v>635</v>
      </c>
    </row>
    <row r="663" spans="2:14" ht="15" customHeight="1">
      <c r="B663" s="490" t="s">
        <v>478</v>
      </c>
      <c r="D663" s="484" t="s">
        <v>475</v>
      </c>
      <c r="F663" s="490" t="s">
        <v>154</v>
      </c>
      <c r="H663" s="490" t="s">
        <v>482</v>
      </c>
      <c r="J663" s="490" t="s">
        <v>176</v>
      </c>
      <c r="L663" s="490" t="s">
        <v>154</v>
      </c>
      <c r="N663" s="294" t="s">
        <v>633</v>
      </c>
    </row>
    <row r="664" spans="2:14" ht="15" customHeight="1"/>
    <row r="665" spans="2:14" ht="15" customHeight="1">
      <c r="B665" s="1120" t="s">
        <v>374</v>
      </c>
      <c r="C665" s="1121"/>
      <c r="D665" s="1120" t="s">
        <v>244</v>
      </c>
      <c r="E665" s="1121"/>
      <c r="F665" s="1120" t="s">
        <v>380</v>
      </c>
      <c r="G665" s="1121"/>
      <c r="H665" s="1120" t="s">
        <v>389</v>
      </c>
      <c r="I665" s="1121"/>
      <c r="J665" s="1120" t="s">
        <v>401</v>
      </c>
      <c r="K665" s="1121"/>
    </row>
    <row r="666" spans="2:14">
      <c r="B666" s="381" t="s">
        <v>177</v>
      </c>
      <c r="C666" s="380"/>
      <c r="D666" s="1138" t="s">
        <v>177</v>
      </c>
      <c r="E666" s="1139"/>
      <c r="F666" s="1138" t="s">
        <v>385</v>
      </c>
      <c r="G666" s="1139"/>
      <c r="H666" s="1138" t="s">
        <v>403</v>
      </c>
      <c r="I666" s="1139"/>
      <c r="J666" s="381" t="s">
        <v>412</v>
      </c>
      <c r="K666" s="380"/>
    </row>
    <row r="667" spans="2:14">
      <c r="B667" s="269" t="s">
        <v>178</v>
      </c>
      <c r="C667" s="270" t="s">
        <v>180</v>
      </c>
      <c r="D667" s="165" t="s">
        <v>178</v>
      </c>
      <c r="E667" s="164" t="s">
        <v>180</v>
      </c>
      <c r="F667" s="377" t="s">
        <v>386</v>
      </c>
      <c r="G667" s="319" t="s">
        <v>387</v>
      </c>
      <c r="H667" s="377" t="s">
        <v>157</v>
      </c>
      <c r="I667" s="322" t="s">
        <v>182</v>
      </c>
      <c r="J667" s="269" t="s">
        <v>410</v>
      </c>
      <c r="K667" s="270" t="s">
        <v>181</v>
      </c>
    </row>
    <row r="668" spans="2:14">
      <c r="B668" s="269" t="s">
        <v>179</v>
      </c>
      <c r="C668" s="270" t="s">
        <v>181</v>
      </c>
      <c r="D668" s="165" t="s">
        <v>179</v>
      </c>
      <c r="E668" s="164" t="s">
        <v>181</v>
      </c>
      <c r="F668" s="377" t="s">
        <v>157</v>
      </c>
      <c r="G668" s="319" t="s">
        <v>182</v>
      </c>
      <c r="H668" s="321"/>
      <c r="I668" s="322"/>
      <c r="J668" s="269" t="s">
        <v>157</v>
      </c>
      <c r="K668" s="270" t="s">
        <v>182</v>
      </c>
    </row>
    <row r="669" spans="2:14">
      <c r="B669" s="269" t="s">
        <v>157</v>
      </c>
      <c r="C669" s="270" t="s">
        <v>182</v>
      </c>
      <c r="D669" s="165" t="s">
        <v>157</v>
      </c>
      <c r="E669" s="164" t="s">
        <v>182</v>
      </c>
      <c r="F669" s="321"/>
      <c r="G669" s="319"/>
      <c r="H669" s="271"/>
      <c r="I669" s="276"/>
      <c r="J669" s="271"/>
      <c r="K669" s="276"/>
    </row>
    <row r="670" spans="2:14">
      <c r="B670" s="382" t="s">
        <v>174</v>
      </c>
      <c r="C670" s="270"/>
      <c r="D670" s="97"/>
      <c r="E670" s="164"/>
      <c r="F670" s="321"/>
      <c r="G670" s="319"/>
      <c r="H670" s="1136" t="s">
        <v>402</v>
      </c>
      <c r="I670" s="1137"/>
      <c r="J670" s="382" t="s">
        <v>411</v>
      </c>
      <c r="K670" s="270"/>
    </row>
    <row r="671" spans="2:14">
      <c r="B671" s="269" t="s">
        <v>175</v>
      </c>
      <c r="C671" s="270" t="s">
        <v>180</v>
      </c>
      <c r="D671" s="1136" t="s">
        <v>174</v>
      </c>
      <c r="E671" s="1137"/>
      <c r="F671" s="1136" t="s">
        <v>383</v>
      </c>
      <c r="G671" s="1137"/>
      <c r="H671" s="377" t="s">
        <v>155</v>
      </c>
      <c r="I671" s="322" t="s">
        <v>182</v>
      </c>
      <c r="J671" s="269" t="s">
        <v>179</v>
      </c>
      <c r="K671" s="270" t="s">
        <v>181</v>
      </c>
    </row>
    <row r="672" spans="2:14">
      <c r="B672" s="269" t="s">
        <v>176</v>
      </c>
      <c r="C672" s="270" t="s">
        <v>181</v>
      </c>
      <c r="D672" s="165" t="s">
        <v>175</v>
      </c>
      <c r="E672" s="164" t="s">
        <v>180</v>
      </c>
      <c r="F672" s="377" t="s">
        <v>384</v>
      </c>
      <c r="G672" s="319" t="s">
        <v>387</v>
      </c>
      <c r="H672" s="271"/>
      <c r="I672" s="276"/>
      <c r="J672" s="269" t="s">
        <v>155</v>
      </c>
      <c r="K672" s="270" t="s">
        <v>182</v>
      </c>
    </row>
    <row r="673" spans="2:26">
      <c r="B673" s="269" t="s">
        <v>157</v>
      </c>
      <c r="C673" s="270" t="s">
        <v>182</v>
      </c>
      <c r="D673" s="165" t="s">
        <v>176</v>
      </c>
      <c r="E673" s="164" t="s">
        <v>181</v>
      </c>
      <c r="F673" s="377" t="s">
        <v>155</v>
      </c>
      <c r="G673" s="319" t="s">
        <v>182</v>
      </c>
      <c r="H673" s="271"/>
      <c r="I673" s="276"/>
      <c r="J673" s="271"/>
      <c r="K673" s="276"/>
    </row>
    <row r="674" spans="2:26">
      <c r="B674" s="383" t="s">
        <v>377</v>
      </c>
      <c r="C674" s="276"/>
      <c r="D674" s="165" t="s">
        <v>157</v>
      </c>
      <c r="E674" s="164" t="s">
        <v>182</v>
      </c>
      <c r="F674" s="321"/>
      <c r="G674" s="319"/>
      <c r="H674" s="1136" t="s">
        <v>404</v>
      </c>
      <c r="I674" s="1137"/>
      <c r="J674" s="382" t="s">
        <v>406</v>
      </c>
      <c r="K674" s="270"/>
    </row>
    <row r="675" spans="2:26">
      <c r="B675" s="269" t="s">
        <v>376</v>
      </c>
      <c r="C675" s="372" t="s">
        <v>378</v>
      </c>
      <c r="D675" s="97"/>
      <c r="E675" s="97"/>
      <c r="F675" s="321"/>
      <c r="G675" s="319"/>
      <c r="H675" s="377" t="s">
        <v>154</v>
      </c>
      <c r="I675" s="322" t="s">
        <v>182</v>
      </c>
      <c r="J675" s="269" t="s">
        <v>176</v>
      </c>
      <c r="K675" s="270" t="s">
        <v>181</v>
      </c>
    </row>
    <row r="676" spans="2:26">
      <c r="B676" s="269" t="s">
        <v>154</v>
      </c>
      <c r="C676" s="372" t="s">
        <v>182</v>
      </c>
      <c r="D676" s="97"/>
      <c r="E676" s="97"/>
      <c r="F676" s="1136" t="s">
        <v>381</v>
      </c>
      <c r="G676" s="1137"/>
      <c r="H676" s="271"/>
      <c r="I676" s="276"/>
      <c r="J676" s="269" t="s">
        <v>154</v>
      </c>
      <c r="K676" s="270" t="s">
        <v>182</v>
      </c>
    </row>
    <row r="677" spans="2:26">
      <c r="B677" s="269" t="s">
        <v>157</v>
      </c>
      <c r="C677" s="372" t="s">
        <v>182</v>
      </c>
      <c r="D677" s="97"/>
      <c r="E677" s="97"/>
      <c r="F677" s="377" t="s">
        <v>382</v>
      </c>
      <c r="G677" s="319" t="s">
        <v>387</v>
      </c>
      <c r="H677" s="321"/>
      <c r="I677" s="322"/>
      <c r="J677" s="269"/>
      <c r="K677" s="372"/>
    </row>
    <row r="678" spans="2:26">
      <c r="B678" s="383" t="s">
        <v>613</v>
      </c>
      <c r="C678" s="276"/>
      <c r="D678" s="97"/>
      <c r="E678" s="97"/>
      <c r="F678" s="377" t="s">
        <v>154</v>
      </c>
      <c r="G678" s="319" t="s">
        <v>182</v>
      </c>
      <c r="H678" s="1136" t="s">
        <v>405</v>
      </c>
      <c r="I678" s="1137"/>
      <c r="J678" s="383"/>
      <c r="K678" s="276"/>
    </row>
    <row r="679" spans="2:26">
      <c r="B679" s="269" t="s">
        <v>379</v>
      </c>
      <c r="C679" s="276" t="s">
        <v>378</v>
      </c>
      <c r="D679" s="97"/>
      <c r="E679" s="97"/>
      <c r="F679" s="321"/>
      <c r="G679" s="319"/>
      <c r="H679" s="377" t="s">
        <v>388</v>
      </c>
      <c r="I679" s="322" t="s">
        <v>289</v>
      </c>
      <c r="J679" s="269"/>
      <c r="K679" s="276"/>
      <c r="Q679" s="165"/>
      <c r="R679" s="97"/>
      <c r="S679" s="97"/>
      <c r="T679" s="97"/>
      <c r="U679" s="319"/>
      <c r="V679" s="319"/>
      <c r="W679" s="97"/>
      <c r="X679" s="97"/>
      <c r="Y679" s="165"/>
      <c r="Z679" s="97"/>
    </row>
    <row r="680" spans="2:26">
      <c r="B680" s="272" t="s">
        <v>157</v>
      </c>
      <c r="C680" s="264" t="s">
        <v>182</v>
      </c>
      <c r="D680" s="263"/>
      <c r="E680" s="263"/>
      <c r="F680" s="376"/>
      <c r="G680" s="378"/>
      <c r="H680" s="262"/>
      <c r="I680" s="264"/>
      <c r="J680" s="272"/>
      <c r="K680" s="264"/>
      <c r="Q680" s="165"/>
      <c r="R680" s="97"/>
      <c r="S680" s="97"/>
      <c r="T680" s="97"/>
      <c r="U680" s="319"/>
      <c r="V680" s="319"/>
      <c r="W680" s="97"/>
      <c r="X680" s="97"/>
      <c r="Y680" s="165"/>
      <c r="Z680" s="97"/>
    </row>
    <row r="683" spans="2:26">
      <c r="B683" s="97"/>
      <c r="C683" s="392"/>
      <c r="D683" s="391"/>
      <c r="E683" s="285"/>
      <c r="F683" s="285"/>
      <c r="G683" s="285"/>
      <c r="H683" s="296"/>
      <c r="I683" s="285"/>
      <c r="J683" s="285"/>
      <c r="K683" s="393"/>
      <c r="L683" s="97"/>
      <c r="M683" s="392"/>
      <c r="N683" s="285"/>
      <c r="O683" s="285"/>
      <c r="P683" s="285"/>
      <c r="Q683" s="296"/>
      <c r="R683" s="285"/>
      <c r="S683" s="285"/>
      <c r="T683" s="393"/>
    </row>
    <row r="684" spans="2:26">
      <c r="B684" s="97"/>
      <c r="C684" s="392"/>
      <c r="D684" s="391"/>
      <c r="E684" s="285"/>
      <c r="F684" s="285"/>
      <c r="G684" s="285"/>
      <c r="H684" s="296"/>
      <c r="I684" s="285"/>
      <c r="J684" s="285"/>
      <c r="K684" s="393"/>
      <c r="L684" s="97"/>
      <c r="M684" s="97"/>
      <c r="N684" s="97"/>
      <c r="O684" s="97"/>
      <c r="P684" s="97"/>
      <c r="Q684" s="97"/>
      <c r="R684" s="97"/>
      <c r="S684" s="97"/>
    </row>
    <row r="685" spans="2:26">
      <c r="B685" t="s">
        <v>269</v>
      </c>
    </row>
    <row r="686" spans="2:26">
      <c r="B686" t="s">
        <v>270</v>
      </c>
    </row>
    <row r="687" spans="2:26">
      <c r="B687" t="s">
        <v>271</v>
      </c>
    </row>
    <row r="688" spans="2:26">
      <c r="B688" t="s">
        <v>272</v>
      </c>
    </row>
    <row r="689" spans="2:10">
      <c r="B689" t="s">
        <v>273</v>
      </c>
    </row>
    <row r="690" spans="2:10">
      <c r="B690" t="s">
        <v>274</v>
      </c>
    </row>
    <row r="691" spans="2:10">
      <c r="B691" t="s">
        <v>275</v>
      </c>
    </row>
    <row r="692" spans="2:10">
      <c r="B692" t="s">
        <v>276</v>
      </c>
    </row>
    <row r="694" spans="2:10">
      <c r="B694" t="s">
        <v>277</v>
      </c>
    </row>
    <row r="695" spans="2:10">
      <c r="B695" t="s">
        <v>278</v>
      </c>
    </row>
    <row r="696" spans="2:10">
      <c r="B696" t="s">
        <v>279</v>
      </c>
    </row>
    <row r="697" spans="2:10">
      <c r="B697" t="s">
        <v>280</v>
      </c>
    </row>
    <row r="698" spans="2:10">
      <c r="B698" t="s">
        <v>281</v>
      </c>
    </row>
    <row r="699" spans="2:10">
      <c r="B699" t="s">
        <v>282</v>
      </c>
    </row>
    <row r="700" spans="2:10">
      <c r="B700" t="s">
        <v>283</v>
      </c>
    </row>
    <row r="704" spans="2:10" ht="15.75">
      <c r="B704" s="385" t="s">
        <v>614</v>
      </c>
      <c r="C704" s="384"/>
      <c r="D704" s="384"/>
      <c r="E704" s="384"/>
      <c r="F704" s="384"/>
      <c r="G704" s="384"/>
      <c r="H704" s="384"/>
      <c r="I704" s="384"/>
      <c r="J704" s="384"/>
    </row>
    <row r="705" spans="2:14" ht="15.75" thickBot="1"/>
    <row r="706" spans="2:14" ht="15.75">
      <c r="B706" s="469" t="s">
        <v>34</v>
      </c>
      <c r="C706" s="470" t="s">
        <v>214</v>
      </c>
      <c r="D706" s="471" t="s">
        <v>181</v>
      </c>
      <c r="E706" s="471" t="s">
        <v>182</v>
      </c>
      <c r="F706" s="471" t="s">
        <v>182</v>
      </c>
      <c r="G706" s="471" t="s">
        <v>387</v>
      </c>
      <c r="H706" s="471" t="s">
        <v>378</v>
      </c>
      <c r="I706" s="472" t="s">
        <v>289</v>
      </c>
      <c r="J706" s="472" t="s">
        <v>445</v>
      </c>
      <c r="M706" s="1167" t="s">
        <v>228</v>
      </c>
      <c r="N706" s="1168"/>
    </row>
    <row r="707" spans="2:14">
      <c r="B707" s="460" t="str">
        <f t="shared" ref="B707:B712" si="201">IF(B34="","",G58)</f>
        <v/>
      </c>
      <c r="C707" s="313" t="str">
        <f t="shared" ref="C707:C712" si="202">IF(B707="","",IF(B707=B$660,"769D",IF(B707=B$661,"777D",IF(B707=B$662,"",IF(B707=B$663,"","FleetEntryError")))))</f>
        <v/>
      </c>
      <c r="D707" s="313" t="str">
        <f t="shared" ref="D707:D712" si="203">IF(B707="","",IF(B707=B$660,"988G",IF(B707=B$661,"992G",IF(B707=B$662,"",IF(B707=B$663,"","FleetEntryError")))))</f>
        <v/>
      </c>
      <c r="E707" s="313" t="str">
        <f t="shared" ref="E707:E712" si="204">IF(B707="","",IF(B707=B$660,"D7R",IF(B707=B$661,"D7R",IF(B707=B$662,"D7R",IF(B707=B$663,"D7R","FleetEntryError")))))</f>
        <v/>
      </c>
      <c r="F707" s="313" t="str">
        <f t="shared" ref="F707:F712" si="205">IF(B707="","",IF(B707=B$660,"",IF(B707=B$661,"",IF(B707=B$662,"D10R",IF(B707=B$663,"","FleetEntryError")))))</f>
        <v/>
      </c>
      <c r="G707" s="313"/>
      <c r="H707" s="313" t="str">
        <f t="shared" ref="H707:H712" si="206">IF(B707="","",IF(B707=B$660,"",IF(B707=B$661,"",IF(B707=B$662,"631G",IF(B707=B$663,"637G","FleetEntryError")))))</f>
        <v/>
      </c>
      <c r="I707" s="461"/>
      <c r="J707" s="461"/>
      <c r="M707" s="386" t="s">
        <v>178</v>
      </c>
      <c r="N707" s="386">
        <f>COUNTIF(C707:I738,"769D")</f>
        <v>0</v>
      </c>
    </row>
    <row r="708" spans="2:14">
      <c r="B708" s="460" t="str">
        <f t="shared" si="201"/>
        <v/>
      </c>
      <c r="C708" s="313" t="str">
        <f t="shared" si="202"/>
        <v/>
      </c>
      <c r="D708" s="313" t="str">
        <f t="shared" si="203"/>
        <v/>
      </c>
      <c r="E708" s="313" t="str">
        <f t="shared" si="204"/>
        <v/>
      </c>
      <c r="F708" s="313" t="str">
        <f t="shared" si="205"/>
        <v/>
      </c>
      <c r="G708" s="313"/>
      <c r="H708" s="313" t="str">
        <f t="shared" si="206"/>
        <v/>
      </c>
      <c r="I708" s="461"/>
      <c r="J708" s="461"/>
      <c r="M708" s="386" t="s">
        <v>175</v>
      </c>
      <c r="N708" s="386">
        <f>COUNTIF(C707:I738,"769D")</f>
        <v>0</v>
      </c>
    </row>
    <row r="709" spans="2:14">
      <c r="B709" s="460" t="str">
        <f t="shared" si="201"/>
        <v/>
      </c>
      <c r="C709" s="313" t="str">
        <f t="shared" si="202"/>
        <v/>
      </c>
      <c r="D709" s="313" t="str">
        <f t="shared" si="203"/>
        <v/>
      </c>
      <c r="E709" s="313" t="str">
        <f t="shared" si="204"/>
        <v/>
      </c>
      <c r="F709" s="313" t="str">
        <f t="shared" si="205"/>
        <v/>
      </c>
      <c r="G709" s="313"/>
      <c r="H709" s="313" t="str">
        <f t="shared" si="206"/>
        <v/>
      </c>
      <c r="I709" s="461"/>
      <c r="J709" s="461"/>
      <c r="M709" s="389"/>
      <c r="N709" s="390"/>
    </row>
    <row r="710" spans="2:14">
      <c r="B710" s="460" t="str">
        <f t="shared" si="201"/>
        <v/>
      </c>
      <c r="C710" s="313" t="str">
        <f t="shared" si="202"/>
        <v/>
      </c>
      <c r="D710" s="313" t="str">
        <f t="shared" si="203"/>
        <v/>
      </c>
      <c r="E710" s="313" t="str">
        <f t="shared" si="204"/>
        <v/>
      </c>
      <c r="F710" s="313" t="str">
        <f t="shared" si="205"/>
        <v/>
      </c>
      <c r="G710" s="313"/>
      <c r="H710" s="313" t="str">
        <f t="shared" si="206"/>
        <v/>
      </c>
      <c r="I710" s="461"/>
      <c r="J710" s="461"/>
      <c r="M710" s="1167" t="s">
        <v>390</v>
      </c>
      <c r="N710" s="1168"/>
    </row>
    <row r="711" spans="2:14">
      <c r="B711" s="460" t="str">
        <f t="shared" si="201"/>
        <v/>
      </c>
      <c r="C711" s="313" t="str">
        <f t="shared" si="202"/>
        <v/>
      </c>
      <c r="D711" s="313" t="str">
        <f t="shared" si="203"/>
        <v/>
      </c>
      <c r="E711" s="313" t="str">
        <f t="shared" si="204"/>
        <v/>
      </c>
      <c r="F711" s="313" t="str">
        <f t="shared" si="205"/>
        <v/>
      </c>
      <c r="G711" s="313"/>
      <c r="H711" s="313" t="str">
        <f t="shared" si="206"/>
        <v/>
      </c>
      <c r="I711" s="461"/>
      <c r="J711" s="461"/>
      <c r="M711" s="386" t="s">
        <v>410</v>
      </c>
      <c r="N711" s="386">
        <f>COUNTIF(C706:I737,"966G")</f>
        <v>0</v>
      </c>
    </row>
    <row r="712" spans="2:14" ht="15.75" thickBot="1">
      <c r="B712" s="462" t="str">
        <f t="shared" si="201"/>
        <v/>
      </c>
      <c r="C712" s="463" t="str">
        <f t="shared" si="202"/>
        <v/>
      </c>
      <c r="D712" s="463" t="str">
        <f t="shared" si="203"/>
        <v/>
      </c>
      <c r="E712" s="463" t="str">
        <f t="shared" si="204"/>
        <v/>
      </c>
      <c r="F712" s="463" t="str">
        <f t="shared" si="205"/>
        <v/>
      </c>
      <c r="G712" s="463"/>
      <c r="H712" s="463" t="str">
        <f t="shared" si="206"/>
        <v/>
      </c>
      <c r="I712" s="464"/>
      <c r="J712" s="464"/>
      <c r="M712" s="386" t="s">
        <v>179</v>
      </c>
      <c r="N712" s="386">
        <f>COUNTIF(C707:I738,"988G")</f>
        <v>0</v>
      </c>
    </row>
    <row r="713" spans="2:14">
      <c r="B713" s="457" t="s">
        <v>401</v>
      </c>
      <c r="C713" s="466"/>
      <c r="D713" s="467"/>
      <c r="E713" s="465"/>
      <c r="F713" s="465"/>
      <c r="G713" s="465"/>
      <c r="H713" s="465"/>
      <c r="I713" s="459"/>
      <c r="J713" s="459"/>
      <c r="M713" s="386" t="s">
        <v>176</v>
      </c>
      <c r="N713" s="386">
        <f>COUNTIF(C708:I738,"992G")</f>
        <v>0</v>
      </c>
    </row>
    <row r="714" spans="2:14">
      <c r="B714" s="460" t="str">
        <f t="shared" ref="B714:B719" si="207">IF(B34="","",K58)</f>
        <v/>
      </c>
      <c r="C714" s="313"/>
      <c r="D714" s="313" t="str">
        <f t="shared" ref="D714:D719" si="208">IF(B714="","",IF(B714=J$661,"966G",IF(B714=J$662,"988G",IF(B714=J$663,"992G","FleetEntryError"))))</f>
        <v/>
      </c>
      <c r="E714" s="313"/>
      <c r="F714" s="313"/>
      <c r="G714" s="313"/>
      <c r="H714" s="313"/>
      <c r="I714" s="461"/>
      <c r="J714" s="461"/>
      <c r="M714" s="389"/>
      <c r="N714" s="390"/>
    </row>
    <row r="715" spans="2:14">
      <c r="B715" s="460" t="str">
        <f t="shared" si="207"/>
        <v/>
      </c>
      <c r="C715" s="313"/>
      <c r="D715" s="313" t="str">
        <f t="shared" si="208"/>
        <v/>
      </c>
      <c r="E715" s="313"/>
      <c r="F715" s="313"/>
      <c r="G715" s="313"/>
      <c r="H715" s="313"/>
      <c r="I715" s="461"/>
      <c r="J715" s="461"/>
      <c r="M715" s="1167" t="s">
        <v>391</v>
      </c>
      <c r="N715" s="1168"/>
    </row>
    <row r="716" spans="2:14">
      <c r="B716" s="460" t="str">
        <f t="shared" si="207"/>
        <v/>
      </c>
      <c r="C716" s="313"/>
      <c r="D716" s="313" t="str">
        <f t="shared" si="208"/>
        <v/>
      </c>
      <c r="E716" s="313"/>
      <c r="F716" s="313"/>
      <c r="G716" s="313"/>
      <c r="H716" s="313"/>
      <c r="I716" s="461"/>
      <c r="J716" s="461"/>
      <c r="M716" s="386" t="s">
        <v>157</v>
      </c>
      <c r="N716" s="386">
        <f>COUNTIF(C707:I738,"D7R")</f>
        <v>0</v>
      </c>
    </row>
    <row r="717" spans="2:14">
      <c r="B717" s="460" t="str">
        <f t="shared" si="207"/>
        <v/>
      </c>
      <c r="C717" s="313"/>
      <c r="D717" s="313" t="str">
        <f t="shared" si="208"/>
        <v/>
      </c>
      <c r="E717" s="313"/>
      <c r="F717" s="313"/>
      <c r="G717" s="313"/>
      <c r="H717" s="313"/>
      <c r="I717" s="461"/>
      <c r="J717" s="461"/>
      <c r="M717" s="386" t="s">
        <v>155</v>
      </c>
      <c r="N717" s="386">
        <f>COUNTIF(C707:I738,"D9R")</f>
        <v>0</v>
      </c>
    </row>
    <row r="718" spans="2:14">
      <c r="B718" s="460" t="str">
        <f t="shared" si="207"/>
        <v/>
      </c>
      <c r="C718" s="313"/>
      <c r="D718" s="313" t="str">
        <f t="shared" si="208"/>
        <v/>
      </c>
      <c r="E718" s="313"/>
      <c r="F718" s="313"/>
      <c r="G718" s="313"/>
      <c r="H718" s="313"/>
      <c r="I718" s="461"/>
      <c r="J718" s="461"/>
      <c r="M718" s="386" t="s">
        <v>154</v>
      </c>
      <c r="N718" s="386">
        <f>COUNTIF(C707:I738,"D10R")</f>
        <v>0</v>
      </c>
    </row>
    <row r="719" spans="2:14" ht="15.75" thickBot="1">
      <c r="B719" s="468" t="str">
        <f t="shared" si="207"/>
        <v/>
      </c>
      <c r="C719" s="463"/>
      <c r="D719" s="463" t="str">
        <f t="shared" si="208"/>
        <v/>
      </c>
      <c r="E719" s="463"/>
      <c r="F719" s="463"/>
      <c r="G719" s="463"/>
      <c r="H719" s="463"/>
      <c r="I719" s="464"/>
      <c r="J719" s="464"/>
      <c r="M719" s="455"/>
      <c r="N719" s="456"/>
    </row>
    <row r="720" spans="2:14">
      <c r="B720" s="457" t="s">
        <v>244</v>
      </c>
      <c r="C720" s="465"/>
      <c r="D720" s="465"/>
      <c r="E720" s="465"/>
      <c r="F720" s="465"/>
      <c r="G720" s="465"/>
      <c r="H720" s="465"/>
      <c r="I720" s="459"/>
      <c r="J720" s="459"/>
      <c r="M720" s="1167" t="s">
        <v>392</v>
      </c>
      <c r="N720" s="1168"/>
    </row>
    <row r="721" spans="2:14">
      <c r="B721" s="460" t="str">
        <f t="shared" ref="B721:B726" si="209">IF(B34="","",H80)</f>
        <v/>
      </c>
      <c r="C721" s="313" t="str">
        <f t="shared" ref="C721:C726" si="210">IF(B721="","",IF(B721=D$662,"769D",IF(B721=D$663,"777D","FleetEntryError")))</f>
        <v/>
      </c>
      <c r="D721" s="313" t="str">
        <f t="shared" ref="D721:D726" si="211">IF(B721="","",IF(B721=D$662,"988G",IF(B721=D$663,"992G","FleetEntryError")))</f>
        <v/>
      </c>
      <c r="E721" s="313" t="str">
        <f t="shared" ref="E721:E726" si="212">IF(B721="","",IF(B721=D$662,"D7R",IF(B721=D$663,"D7R","FleetEntryError")))</f>
        <v/>
      </c>
      <c r="F721" s="313"/>
      <c r="G721" s="313"/>
      <c r="H721" s="313"/>
      <c r="I721" s="461"/>
      <c r="J721" s="461"/>
      <c r="M721" s="386" t="s">
        <v>386</v>
      </c>
      <c r="N721" s="386">
        <f>COUNTIF(C707:I738,"325C")</f>
        <v>0</v>
      </c>
    </row>
    <row r="722" spans="2:14">
      <c r="B722" s="460" t="str">
        <f t="shared" si="209"/>
        <v/>
      </c>
      <c r="C722" s="313" t="str">
        <f t="shared" si="210"/>
        <v/>
      </c>
      <c r="D722" s="313" t="str">
        <f t="shared" si="211"/>
        <v/>
      </c>
      <c r="E722" s="313" t="str">
        <f t="shared" si="212"/>
        <v/>
      </c>
      <c r="F722" s="313"/>
      <c r="G722" s="313"/>
      <c r="H722" s="313"/>
      <c r="I722" s="461"/>
      <c r="J722" s="461"/>
      <c r="M722" s="386" t="s">
        <v>384</v>
      </c>
      <c r="N722" s="386">
        <f>COUNTIF(C707:I738,"345B")</f>
        <v>0</v>
      </c>
    </row>
    <row r="723" spans="2:14">
      <c r="B723" s="460" t="str">
        <f t="shared" si="209"/>
        <v/>
      </c>
      <c r="C723" s="313" t="str">
        <f t="shared" si="210"/>
        <v/>
      </c>
      <c r="D723" s="313" t="str">
        <f t="shared" si="211"/>
        <v/>
      </c>
      <c r="E723" s="313" t="str">
        <f t="shared" si="212"/>
        <v/>
      </c>
      <c r="F723" s="313"/>
      <c r="G723" s="313"/>
      <c r="H723" s="313"/>
      <c r="I723" s="461"/>
      <c r="J723" s="461"/>
      <c r="M723" s="386" t="s">
        <v>382</v>
      </c>
      <c r="N723" s="386">
        <f>COUNTIF(C707:I738,"385BL")</f>
        <v>0</v>
      </c>
    </row>
    <row r="724" spans="2:14">
      <c r="B724" s="460" t="str">
        <f t="shared" si="209"/>
        <v/>
      </c>
      <c r="C724" s="313" t="str">
        <f t="shared" si="210"/>
        <v/>
      </c>
      <c r="D724" s="313" t="str">
        <f t="shared" si="211"/>
        <v/>
      </c>
      <c r="E724" s="313" t="str">
        <f t="shared" si="212"/>
        <v/>
      </c>
      <c r="F724" s="313"/>
      <c r="G724" s="313"/>
      <c r="H724" s="313"/>
      <c r="I724" s="461"/>
      <c r="J724" s="461"/>
      <c r="M724" s="389"/>
      <c r="N724" s="390"/>
    </row>
    <row r="725" spans="2:14">
      <c r="B725" s="460" t="str">
        <f t="shared" si="209"/>
        <v/>
      </c>
      <c r="C725" s="313" t="str">
        <f t="shared" si="210"/>
        <v/>
      </c>
      <c r="D725" s="313" t="str">
        <f t="shared" si="211"/>
        <v/>
      </c>
      <c r="E725" s="313" t="str">
        <f t="shared" si="212"/>
        <v/>
      </c>
      <c r="F725" s="313"/>
      <c r="G725" s="313"/>
      <c r="H725" s="313"/>
      <c r="I725" s="461"/>
      <c r="J725" s="461"/>
      <c r="M725" s="1167" t="s">
        <v>393</v>
      </c>
      <c r="N725" s="1168"/>
    </row>
    <row r="726" spans="2:14" ht="15.75" thickBot="1">
      <c r="B726" s="462" t="str">
        <f t="shared" si="209"/>
        <v/>
      </c>
      <c r="C726" s="463" t="str">
        <f t="shared" si="210"/>
        <v/>
      </c>
      <c r="D726" s="463" t="str">
        <f t="shared" si="211"/>
        <v/>
      </c>
      <c r="E726" s="463" t="str">
        <f t="shared" si="212"/>
        <v/>
      </c>
      <c r="F726" s="463"/>
      <c r="G726" s="463"/>
      <c r="H726" s="463"/>
      <c r="I726" s="464"/>
      <c r="J726" s="464"/>
      <c r="M726" s="386" t="s">
        <v>376</v>
      </c>
      <c r="N726" s="386">
        <f>COUNTIF(C707:I738,"631G")</f>
        <v>0</v>
      </c>
    </row>
    <row r="727" spans="2:14">
      <c r="B727" s="457" t="s">
        <v>380</v>
      </c>
      <c r="C727" s="465"/>
      <c r="D727" s="465"/>
      <c r="E727" s="465"/>
      <c r="F727" s="465"/>
      <c r="G727" s="465"/>
      <c r="H727" s="465"/>
      <c r="I727" s="459"/>
      <c r="J727" s="459"/>
      <c r="M727" s="386" t="s">
        <v>394</v>
      </c>
      <c r="N727" s="386">
        <f>COUNTIF(C707:I738,"637G")</f>
        <v>0</v>
      </c>
    </row>
    <row r="728" spans="2:14">
      <c r="B728" s="460" t="str">
        <f t="shared" ref="B728:B733" si="213">IF(F102="New Pond",N34,"")</f>
        <v/>
      </c>
      <c r="C728" s="313"/>
      <c r="D728" s="313"/>
      <c r="E728" s="313" t="str">
        <f t="shared" ref="E728:E733" si="214">IF(B728="","",IF(B728=F$661,"D7R",IF(B728=F$662,"D9R",IF(B728=F$663,"D10R","FleetEntryError"))))</f>
        <v/>
      </c>
      <c r="F728" s="313"/>
      <c r="G728" s="313"/>
      <c r="H728" s="313"/>
      <c r="I728" s="461"/>
      <c r="J728" s="461"/>
      <c r="M728" s="389"/>
      <c r="N728" s="390"/>
    </row>
    <row r="729" spans="2:14">
      <c r="B729" s="460" t="str">
        <f t="shared" si="213"/>
        <v/>
      </c>
      <c r="C729" s="313"/>
      <c r="D729" s="386"/>
      <c r="E729" s="313" t="str">
        <f t="shared" si="214"/>
        <v/>
      </c>
      <c r="F729" s="313"/>
      <c r="G729" s="313"/>
      <c r="H729" s="313"/>
      <c r="I729" s="461"/>
      <c r="J729" s="461"/>
    </row>
    <row r="730" spans="2:14">
      <c r="B730" s="460" t="str">
        <f t="shared" si="213"/>
        <v/>
      </c>
      <c r="C730" s="313"/>
      <c r="D730" s="386"/>
      <c r="E730" s="313" t="str">
        <f t="shared" si="214"/>
        <v/>
      </c>
      <c r="F730" s="313"/>
      <c r="G730" s="313"/>
      <c r="H730" s="313"/>
      <c r="I730" s="461"/>
      <c r="J730" s="461"/>
      <c r="M730" s="1167" t="s">
        <v>395</v>
      </c>
      <c r="N730" s="1168"/>
    </row>
    <row r="731" spans="2:14">
      <c r="B731" s="460" t="str">
        <f t="shared" si="213"/>
        <v/>
      </c>
      <c r="C731" s="313"/>
      <c r="D731" s="386"/>
      <c r="E731" s="313" t="str">
        <f t="shared" si="214"/>
        <v/>
      </c>
      <c r="F731" s="313"/>
      <c r="G731" s="313"/>
      <c r="H731" s="313"/>
      <c r="I731" s="461"/>
      <c r="J731" s="461"/>
      <c r="M731" s="387" t="s">
        <v>388</v>
      </c>
      <c r="N731" s="387">
        <f>COUNTIF(C704:J747,"16G/H")</f>
        <v>0</v>
      </c>
    </row>
    <row r="732" spans="2:14">
      <c r="B732" s="460" t="str">
        <f t="shared" si="213"/>
        <v/>
      </c>
      <c r="C732" s="313"/>
      <c r="D732" s="386"/>
      <c r="E732" s="313" t="str">
        <f t="shared" si="214"/>
        <v/>
      </c>
      <c r="F732" s="313"/>
      <c r="G732" s="313"/>
      <c r="H732" s="313"/>
      <c r="I732" s="461"/>
      <c r="J732" s="461"/>
      <c r="M732" s="389"/>
      <c r="N732" s="390"/>
    </row>
    <row r="733" spans="2:14" ht="15.75" thickBot="1">
      <c r="B733" s="460" t="str">
        <f t="shared" si="213"/>
        <v/>
      </c>
      <c r="C733" s="313"/>
      <c r="D733" s="386"/>
      <c r="E733" s="313" t="str">
        <f t="shared" si="214"/>
        <v/>
      </c>
      <c r="F733" s="313"/>
      <c r="G733" s="313"/>
      <c r="H733" s="313"/>
      <c r="I733" s="461"/>
      <c r="J733" s="461"/>
      <c r="M733" s="1167" t="s">
        <v>447</v>
      </c>
      <c r="N733" s="1168"/>
    </row>
    <row r="734" spans="2:14">
      <c r="B734" s="457" t="s">
        <v>389</v>
      </c>
      <c r="C734" s="458"/>
      <c r="D734" s="458"/>
      <c r="E734" s="458"/>
      <c r="F734" s="458"/>
      <c r="G734" s="458"/>
      <c r="H734" s="458"/>
      <c r="I734" s="459"/>
      <c r="J734" s="459"/>
      <c r="M734" s="387" t="s">
        <v>446</v>
      </c>
      <c r="N734" s="387">
        <f>COUNTIF(C707:J747,"420D")</f>
        <v>0</v>
      </c>
    </row>
    <row r="735" spans="2:14">
      <c r="B735" s="460" t="str">
        <f t="shared" ref="B735:B740" si="215">IF(B34="","",O80)</f>
        <v/>
      </c>
      <c r="C735" s="386"/>
      <c r="D735" s="386"/>
      <c r="E735" s="313" t="str">
        <f t="shared" ref="E735:E740" si="216">IF(B735="","",IF(B735=H$660,"D7R",IF(B735=H$661,"D9R",IF(B735=H$662,"D10R",IF(B735=H$663,"","FleetEntryError")))))</f>
        <v/>
      </c>
      <c r="F735" s="386"/>
      <c r="G735" s="386"/>
      <c r="H735" s="386"/>
      <c r="I735" s="461" t="str">
        <f t="shared" ref="I735:I740" si="217">IF(B735="","",IF(B735=H$660,"",IF(B735=H$661,"",IF(B735=H$662,"",IF(B735=H$663,"16G/H","FleetEntryError")))))</f>
        <v/>
      </c>
      <c r="J735" s="461" t="str">
        <f t="shared" ref="J735:J738" si="218">IF(C735="","",IF(C735="Small Dozer","",IF(C735="Med Dozer","",IF(C735="Large Dozer","",IF(C735="Grader","16G/H","FleetEntryError")))))</f>
        <v/>
      </c>
      <c r="M735" s="389"/>
      <c r="N735" s="390"/>
    </row>
    <row r="736" spans="2:14">
      <c r="B736" s="460" t="str">
        <f t="shared" si="215"/>
        <v/>
      </c>
      <c r="C736" s="386"/>
      <c r="D736" s="386"/>
      <c r="E736" s="313" t="str">
        <f t="shared" si="216"/>
        <v/>
      </c>
      <c r="F736" s="386"/>
      <c r="G736" s="386"/>
      <c r="H736" s="386"/>
      <c r="I736" s="461" t="str">
        <f t="shared" si="217"/>
        <v/>
      </c>
      <c r="J736" s="461" t="str">
        <f t="shared" si="218"/>
        <v/>
      </c>
      <c r="M736" s="388" t="s">
        <v>213</v>
      </c>
      <c r="N736" s="294">
        <f>SUM(N707:N724)</f>
        <v>0</v>
      </c>
    </row>
    <row r="737" spans="2:10">
      <c r="B737" s="460" t="str">
        <f t="shared" si="215"/>
        <v/>
      </c>
      <c r="C737" s="386"/>
      <c r="D737" s="386"/>
      <c r="E737" s="313" t="str">
        <f t="shared" si="216"/>
        <v/>
      </c>
      <c r="F737" s="386"/>
      <c r="G737" s="386"/>
      <c r="H737" s="386"/>
      <c r="I737" s="461" t="str">
        <f t="shared" si="217"/>
        <v/>
      </c>
      <c r="J737" s="461" t="str">
        <f t="shared" si="218"/>
        <v/>
      </c>
    </row>
    <row r="738" spans="2:10">
      <c r="B738" s="460" t="str">
        <f t="shared" si="215"/>
        <v/>
      </c>
      <c r="C738" s="313"/>
      <c r="D738" s="313"/>
      <c r="E738" s="313" t="str">
        <f t="shared" si="216"/>
        <v/>
      </c>
      <c r="F738" s="313"/>
      <c r="G738" s="313"/>
      <c r="H738" s="313"/>
      <c r="I738" s="461" t="str">
        <f t="shared" si="217"/>
        <v/>
      </c>
      <c r="J738" s="461" t="str">
        <f t="shared" si="218"/>
        <v/>
      </c>
    </row>
    <row r="739" spans="2:10">
      <c r="B739" s="460" t="str">
        <f t="shared" si="215"/>
        <v/>
      </c>
      <c r="C739" s="313"/>
      <c r="D739" s="313"/>
      <c r="E739" s="313" t="str">
        <f t="shared" si="216"/>
        <v/>
      </c>
      <c r="F739" s="313"/>
      <c r="G739" s="313"/>
      <c r="H739" s="313"/>
      <c r="I739" s="461" t="str">
        <f t="shared" si="217"/>
        <v/>
      </c>
      <c r="J739" s="461" t="str">
        <f t="shared" ref="J739:J740" si="219">IF(C739="","",IF(C739="Small Dozer","",IF(C739="Med Dozer","",IF(C739="Large Dozer","",IF(C739="Grader","16G/H","FleetEntryError")))))</f>
        <v/>
      </c>
    </row>
    <row r="740" spans="2:10" ht="15.75" thickBot="1">
      <c r="B740" s="462" t="str">
        <f t="shared" si="215"/>
        <v/>
      </c>
      <c r="C740" s="463"/>
      <c r="D740" s="463"/>
      <c r="E740" s="463" t="str">
        <f t="shared" si="216"/>
        <v/>
      </c>
      <c r="F740" s="463"/>
      <c r="G740" s="463"/>
      <c r="H740" s="463"/>
      <c r="I740" s="464" t="str">
        <f t="shared" si="217"/>
        <v/>
      </c>
      <c r="J740" s="464" t="str">
        <f t="shared" si="219"/>
        <v/>
      </c>
    </row>
    <row r="741" spans="2:10">
      <c r="B741" s="457" t="s">
        <v>444</v>
      </c>
      <c r="C741" s="458"/>
      <c r="D741" s="458"/>
      <c r="E741" s="458"/>
      <c r="F741" s="458"/>
      <c r="G741" s="458"/>
      <c r="H741" s="458"/>
      <c r="I741" s="459"/>
      <c r="J741" s="459"/>
    </row>
    <row r="742" spans="2:10">
      <c r="B742" s="460">
        <f t="shared" ref="B742:B747" si="220">IF(F102="","",F102)</f>
        <v>0</v>
      </c>
      <c r="C742" s="386"/>
      <c r="D742" s="386"/>
      <c r="E742" s="313"/>
      <c r="F742" s="386"/>
      <c r="G742" s="386"/>
      <c r="H742" s="386"/>
      <c r="I742" s="461"/>
      <c r="J742" s="461" t="str">
        <f>IF(B742="","",IF(B742="Double Liner","",IF(B742="New Pond","420D",IF(B742="Unlined","420D",IF(B742="Single Liner","420D","FleetEntryError")))))</f>
        <v>FleetEntryError</v>
      </c>
    </row>
    <row r="743" spans="2:10">
      <c r="B743" s="460">
        <f t="shared" si="220"/>
        <v>0</v>
      </c>
      <c r="C743" s="386"/>
      <c r="D743" s="386"/>
      <c r="E743" s="313"/>
      <c r="F743" s="386"/>
      <c r="G743" s="386"/>
      <c r="H743" s="386"/>
      <c r="I743" s="461"/>
      <c r="J743" s="461" t="str">
        <f t="shared" ref="J743:J747" si="221">IF(B743="","",IF(B743="Double Liner","",IF(B743="New Pond","420D",IF(B743="Unlined","420D",IF(B743="Single Liner","420D","FleetEntryError")))))</f>
        <v>FleetEntryError</v>
      </c>
    </row>
    <row r="744" spans="2:10">
      <c r="B744" s="460">
        <f t="shared" si="220"/>
        <v>0</v>
      </c>
      <c r="C744" s="386"/>
      <c r="D744" s="386"/>
      <c r="E744" s="313"/>
      <c r="F744" s="386"/>
      <c r="G744" s="386"/>
      <c r="H744" s="386"/>
      <c r="I744" s="461"/>
      <c r="J744" s="461" t="str">
        <f t="shared" si="221"/>
        <v>FleetEntryError</v>
      </c>
    </row>
    <row r="745" spans="2:10">
      <c r="B745" s="460">
        <f t="shared" si="220"/>
        <v>0</v>
      </c>
      <c r="C745" s="313"/>
      <c r="D745" s="313"/>
      <c r="E745" s="313"/>
      <c r="F745" s="313"/>
      <c r="G745" s="313"/>
      <c r="H745" s="313"/>
      <c r="I745" s="461"/>
      <c r="J745" s="461" t="str">
        <f t="shared" si="221"/>
        <v>FleetEntryError</v>
      </c>
    </row>
    <row r="746" spans="2:10">
      <c r="B746" s="460">
        <f t="shared" si="220"/>
        <v>0</v>
      </c>
      <c r="C746" s="313"/>
      <c r="D746" s="313"/>
      <c r="E746" s="313"/>
      <c r="F746" s="313"/>
      <c r="G746" s="313"/>
      <c r="H746" s="313"/>
      <c r="I746" s="461"/>
      <c r="J746" s="461" t="str">
        <f t="shared" si="221"/>
        <v>FleetEntryError</v>
      </c>
    </row>
    <row r="747" spans="2:10" ht="15.75" thickBot="1">
      <c r="B747" s="462">
        <f t="shared" si="220"/>
        <v>0</v>
      </c>
      <c r="C747" s="463"/>
      <c r="D747" s="463"/>
      <c r="E747" s="463"/>
      <c r="F747" s="463"/>
      <c r="G747" s="463"/>
      <c r="H747" s="463"/>
      <c r="I747" s="464"/>
      <c r="J747" s="464" t="str">
        <f t="shared" si="221"/>
        <v>FleetEntryError</v>
      </c>
    </row>
    <row r="753" spans="1:13">
      <c r="B753" s="827"/>
      <c r="C753" s="828"/>
      <c r="D753" s="827"/>
      <c r="E753" s="827"/>
      <c r="F753" s="827"/>
      <c r="G753" s="827"/>
    </row>
    <row r="754" spans="1:13">
      <c r="A754" s="827"/>
      <c r="B754" s="827"/>
      <c r="C754" s="827"/>
      <c r="D754" s="827"/>
      <c r="E754" s="827"/>
      <c r="F754" s="827"/>
    </row>
    <row r="755" spans="1:13">
      <c r="A755" s="827"/>
      <c r="F755" s="827"/>
      <c r="M755" s="827"/>
    </row>
    <row r="756" spans="1:13">
      <c r="A756" s="827"/>
      <c r="F756" s="827"/>
      <c r="M756" s="827"/>
    </row>
    <row r="757" spans="1:13">
      <c r="A757" s="827"/>
      <c r="B757" s="827"/>
      <c r="C757" s="827"/>
      <c r="D757" s="827"/>
      <c r="E757" s="827"/>
      <c r="F757" s="827"/>
      <c r="G757" s="827"/>
      <c r="H757" s="827"/>
      <c r="I757" s="827"/>
      <c r="J757" s="827"/>
      <c r="K757" s="827"/>
      <c r="L757" s="827"/>
      <c r="M757" s="827"/>
    </row>
    <row r="758" spans="1:13">
      <c r="A758" s="827"/>
      <c r="B758" s="827"/>
      <c r="F758" s="827"/>
      <c r="G758" s="827"/>
      <c r="H758" s="827"/>
      <c r="I758" s="827"/>
      <c r="J758" s="827"/>
      <c r="K758" s="827"/>
      <c r="L758" s="827"/>
      <c r="M758" s="827"/>
    </row>
    <row r="759" spans="1:13">
      <c r="A759" s="827"/>
      <c r="B759" s="827"/>
      <c r="F759" s="827"/>
      <c r="G759" s="827"/>
      <c r="H759" s="827"/>
      <c r="I759" s="827"/>
      <c r="J759" s="827"/>
      <c r="K759" s="827"/>
      <c r="L759" s="827"/>
      <c r="M759" s="827"/>
    </row>
    <row r="760" spans="1:13">
      <c r="A760" s="827"/>
      <c r="B760" s="826"/>
      <c r="F760" s="827"/>
      <c r="G760" s="827"/>
      <c r="H760" s="827"/>
      <c r="I760" s="827"/>
      <c r="J760" s="827"/>
      <c r="K760" s="827"/>
      <c r="L760" s="827"/>
      <c r="M760" s="827"/>
    </row>
    <row r="761" spans="1:13">
      <c r="A761" s="827"/>
      <c r="B761" s="827"/>
      <c r="C761" s="827"/>
      <c r="D761" s="827"/>
      <c r="E761" s="827"/>
      <c r="F761" s="827"/>
      <c r="G761" s="827"/>
      <c r="H761" s="827"/>
      <c r="I761" s="827"/>
      <c r="J761" s="827"/>
      <c r="K761" s="827"/>
      <c r="L761" s="827"/>
      <c r="M761" s="827"/>
    </row>
  </sheetData>
  <sheetProtection password="8CE6" sheet="1" formatCells="0" selectLockedCells="1"/>
  <scenarios current="0" sqref="P30">
    <scenario name="Dozing" count="1" user=" Shawn K. Gooch, P.E., NDEP Bureau of Mining" comment="Created by  Shawn K. Gooch, P.E., NDEP Bureau of Mining on 10/13/2011_x000a_Modified by  Shawn K. Gooch, P.E., NDEP Bureau of Mining on 10/13/2011">
      <inputCells r="P32" val="1" numFmtId="2"/>
    </scenario>
  </scenarios>
  <sortState ref="F521:K533">
    <sortCondition descending="1" ref="G481:G493"/>
  </sortState>
  <dataConsolidate/>
  <mergeCells count="103">
    <mergeCell ref="D31:H31"/>
    <mergeCell ref="I31:N31"/>
    <mergeCell ref="A138:B138"/>
    <mergeCell ref="A154:B154"/>
    <mergeCell ref="J99:M99"/>
    <mergeCell ref="A1:M1"/>
    <mergeCell ref="M733:N733"/>
    <mergeCell ref="F602:K603"/>
    <mergeCell ref="B513:L513"/>
    <mergeCell ref="C514:G514"/>
    <mergeCell ref="H514:L514"/>
    <mergeCell ref="M725:N725"/>
    <mergeCell ref="A283:B283"/>
    <mergeCell ref="M730:N730"/>
    <mergeCell ref="E623:F623"/>
    <mergeCell ref="E624:F624"/>
    <mergeCell ref="M720:N720"/>
    <mergeCell ref="M706:N706"/>
    <mergeCell ref="M715:N715"/>
    <mergeCell ref="M710:N710"/>
    <mergeCell ref="E629:F629"/>
    <mergeCell ref="E630:F630"/>
    <mergeCell ref="J11:M11"/>
    <mergeCell ref="J4:M4"/>
    <mergeCell ref="J5:M5"/>
    <mergeCell ref="J7:M7"/>
    <mergeCell ref="J10:M10"/>
    <mergeCell ref="J6:M6"/>
    <mergeCell ref="A32:B32"/>
    <mergeCell ref="J3:M3"/>
    <mergeCell ref="J8:M8"/>
    <mergeCell ref="H3:I3"/>
    <mergeCell ref="A312:B312"/>
    <mergeCell ref="A184:B184"/>
    <mergeCell ref="A78:B78"/>
    <mergeCell ref="A123:B123"/>
    <mergeCell ref="A241:B241"/>
    <mergeCell ref="A227:B227"/>
    <mergeCell ref="J9:M9"/>
    <mergeCell ref="J12:M12"/>
    <mergeCell ref="I227:I228"/>
    <mergeCell ref="A281:N281"/>
    <mergeCell ref="A267:J267"/>
    <mergeCell ref="A253:J253"/>
    <mergeCell ref="A254:J254"/>
    <mergeCell ref="A297:B297"/>
    <mergeCell ref="A295:G295"/>
    <mergeCell ref="D99:F99"/>
    <mergeCell ref="H678:I678"/>
    <mergeCell ref="F676:G676"/>
    <mergeCell ref="F666:G666"/>
    <mergeCell ref="F671:G671"/>
    <mergeCell ref="H666:I666"/>
    <mergeCell ref="D282:H282"/>
    <mergeCell ref="I282:N282"/>
    <mergeCell ref="D666:E666"/>
    <mergeCell ref="D671:E671"/>
    <mergeCell ref="H670:I670"/>
    <mergeCell ref="H674:I674"/>
    <mergeCell ref="B468:G468"/>
    <mergeCell ref="A477:I477"/>
    <mergeCell ref="A478:A479"/>
    <mergeCell ref="B478:G478"/>
    <mergeCell ref="E625:F625"/>
    <mergeCell ref="E635:F635"/>
    <mergeCell ref="E636:F636"/>
    <mergeCell ref="B491:G491"/>
    <mergeCell ref="E627:F627"/>
    <mergeCell ref="A491:A492"/>
    <mergeCell ref="B466:I466"/>
    <mergeCell ref="A467:I467"/>
    <mergeCell ref="J665:K665"/>
    <mergeCell ref="H665:I665"/>
    <mergeCell ref="F665:G665"/>
    <mergeCell ref="D665:E665"/>
    <mergeCell ref="B665:C665"/>
    <mergeCell ref="E634:F634"/>
    <mergeCell ref="E633:F633"/>
    <mergeCell ref="E637:F637"/>
    <mergeCell ref="E626:F626"/>
    <mergeCell ref="E628:F628"/>
    <mergeCell ref="E631:F631"/>
    <mergeCell ref="E632:F632"/>
    <mergeCell ref="A199:B199"/>
    <mergeCell ref="A213:B213"/>
    <mergeCell ref="C55:L55"/>
    <mergeCell ref="A56:B56"/>
    <mergeCell ref="B489:I489"/>
    <mergeCell ref="A329:B329"/>
    <mergeCell ref="A468:A469"/>
    <mergeCell ref="B619:D619"/>
    <mergeCell ref="A169:B169"/>
    <mergeCell ref="A341:F341"/>
    <mergeCell ref="A269:B269"/>
    <mergeCell ref="A501:A502"/>
    <mergeCell ref="A500:I500"/>
    <mergeCell ref="A490:I490"/>
    <mergeCell ref="B501:G501"/>
    <mergeCell ref="A211:B211"/>
    <mergeCell ref="A76:O76"/>
    <mergeCell ref="C77:I77"/>
    <mergeCell ref="A255:B255"/>
    <mergeCell ref="A100:B100"/>
  </mergeCells>
  <conditionalFormatting sqref="D269 N307:N311 P252:P266">
    <cfRule type="cellIs" dxfId="109" priority="320" stopIfTrue="1" operator="equal">
      <formula>"Select Fleet"</formula>
    </cfRule>
  </conditionalFormatting>
  <conditionalFormatting sqref="D125:F127 E329:G330 F269:G270 O307:Q311 Q252:S266">
    <cfRule type="cellIs" dxfId="108" priority="321" stopIfTrue="1" operator="equal">
      <formula>"Select Fleet"</formula>
    </cfRule>
    <cfRule type="cellIs" dxfId="107" priority="322" stopIfTrue="1" operator="equal">
      <formula>"Material Type!"</formula>
    </cfRule>
  </conditionalFormatting>
  <conditionalFormatting sqref="C5:D6 C7 F5:F7 F9:F22">
    <cfRule type="cellIs" dxfId="106" priority="324" stopIfTrue="1" operator="equal">
      <formula>"Error!"</formula>
    </cfRule>
  </conditionalFormatting>
  <conditionalFormatting sqref="C269">
    <cfRule type="cellIs" dxfId="105" priority="317" stopIfTrue="1" operator="equal">
      <formula>"Select Fleet"</formula>
    </cfRule>
  </conditionalFormatting>
  <conditionalFormatting sqref="E312">
    <cfRule type="cellIs" dxfId="104" priority="315" stopIfTrue="1" operator="equal">
      <formula>"Crew Hours!"</formula>
    </cfRule>
  </conditionalFormatting>
  <conditionalFormatting sqref="E213">
    <cfRule type="cellIs" dxfId="103" priority="314" stopIfTrue="1" operator="equal">
      <formula>"Crew Hours!"</formula>
    </cfRule>
  </conditionalFormatting>
  <conditionalFormatting sqref="C312">
    <cfRule type="cellIs" dxfId="102" priority="313" stopIfTrue="1" operator="equal">
      <formula>"Crew Hours!"</formula>
    </cfRule>
  </conditionalFormatting>
  <conditionalFormatting sqref="D312">
    <cfRule type="cellIs" dxfId="101" priority="312" stopIfTrue="1" operator="equal">
      <formula>"Crew Hours!"</formula>
    </cfRule>
  </conditionalFormatting>
  <conditionalFormatting sqref="J283">
    <cfRule type="cellIs" dxfId="100" priority="307" stopIfTrue="1" operator="equal">
      <formula>"Crew Hours!"</formula>
    </cfRule>
  </conditionalFormatting>
  <conditionalFormatting sqref="I283">
    <cfRule type="cellIs" dxfId="99" priority="306" stopIfTrue="1" operator="equal">
      <formula>"Crew Hours!"</formula>
    </cfRule>
  </conditionalFormatting>
  <conditionalFormatting sqref="E241:E242">
    <cfRule type="cellIs" dxfId="98" priority="302" stopIfTrue="1" operator="equal">
      <formula>"Crew Hours!"</formula>
    </cfRule>
  </conditionalFormatting>
  <conditionalFormatting sqref="D241:D242">
    <cfRule type="cellIs" dxfId="97" priority="301" stopIfTrue="1" operator="equal">
      <formula>"Crew Hours!"</formula>
    </cfRule>
  </conditionalFormatting>
  <conditionalFormatting sqref="E227">
    <cfRule type="cellIs" dxfId="96" priority="298" stopIfTrue="1" operator="equal">
      <formula>"Crew Hours!"</formula>
    </cfRule>
  </conditionalFormatting>
  <conditionalFormatting sqref="C227">
    <cfRule type="cellIs" dxfId="95" priority="297" stopIfTrue="1" operator="equal">
      <formula>"Crew Hours!"</formula>
    </cfRule>
  </conditionalFormatting>
  <conditionalFormatting sqref="D227">
    <cfRule type="cellIs" dxfId="94" priority="296" stopIfTrue="1" operator="equal">
      <formula>"Crew Hours!"</formula>
    </cfRule>
  </conditionalFormatting>
  <conditionalFormatting sqref="C170">
    <cfRule type="cellIs" dxfId="93" priority="293" stopIfTrue="1" operator="equal">
      <formula>"Crew Hours!"</formula>
    </cfRule>
  </conditionalFormatting>
  <conditionalFormatting sqref="C199">
    <cfRule type="cellIs" dxfId="92" priority="292" stopIfTrue="1" operator="equal">
      <formula>"Crew Hours!"</formula>
    </cfRule>
  </conditionalFormatting>
  <conditionalFormatting sqref="D170">
    <cfRule type="cellIs" dxfId="91" priority="290" stopIfTrue="1" operator="equal">
      <formula>"Crew Hours!"</formula>
    </cfRule>
  </conditionalFormatting>
  <conditionalFormatting sqref="D213">
    <cfRule type="cellIs" dxfId="90" priority="288" stopIfTrue="1" operator="equal">
      <formula>"Crew Hours!"</formula>
    </cfRule>
  </conditionalFormatting>
  <conditionalFormatting sqref="C213">
    <cfRule type="cellIs" dxfId="89" priority="287" stopIfTrue="1" operator="equal">
      <formula>"Crew Hours!"</formula>
    </cfRule>
  </conditionalFormatting>
  <conditionalFormatting sqref="F8">
    <cfRule type="cellIs" dxfId="88" priority="286" stopIfTrue="1" operator="equal">
      <formula>"Error!"</formula>
    </cfRule>
  </conditionalFormatting>
  <conditionalFormatting sqref="D185">
    <cfRule type="cellIs" dxfId="87" priority="281" stopIfTrue="1" operator="equal">
      <formula>"Crew Hours!"</formula>
    </cfRule>
  </conditionalFormatting>
  <conditionalFormatting sqref="E313">
    <cfRule type="cellIs" dxfId="86" priority="266" stopIfTrue="1" operator="equal">
      <formula>"Crew Hours!"</formula>
    </cfRule>
  </conditionalFormatting>
  <conditionalFormatting sqref="C140">
    <cfRule type="cellIs" dxfId="85" priority="269" stopIfTrue="1" operator="equal">
      <formula>"Crew Hours!"</formula>
    </cfRule>
  </conditionalFormatting>
  <conditionalFormatting sqref="D7:E7">
    <cfRule type="cellIs" dxfId="84" priority="270" stopIfTrue="1" operator="equal">
      <formula>"Error!"</formula>
    </cfRule>
  </conditionalFormatting>
  <conditionalFormatting sqref="C313:C319">
    <cfRule type="cellIs" dxfId="83" priority="265" stopIfTrue="1" operator="equal">
      <formula>"Crew Hours!"</formula>
    </cfRule>
  </conditionalFormatting>
  <conditionalFormatting sqref="D140">
    <cfRule type="cellIs" dxfId="82" priority="268" stopIfTrue="1" operator="equal">
      <formula>"Crew Hours!"</formula>
    </cfRule>
  </conditionalFormatting>
  <conditionalFormatting sqref="D313">
    <cfRule type="cellIs" dxfId="81" priority="264" stopIfTrue="1" operator="equal">
      <formula>"Crew Hours!"</formula>
    </cfRule>
  </conditionalFormatting>
  <conditionalFormatting sqref="E214">
    <cfRule type="cellIs" dxfId="80" priority="255" stopIfTrue="1" operator="equal">
      <formula>"Crew Hours!"</formula>
    </cfRule>
  </conditionalFormatting>
  <conditionalFormatting sqref="D214">
    <cfRule type="cellIs" dxfId="79" priority="254" stopIfTrue="1" operator="equal">
      <formula>"Crew Hours!"</formula>
    </cfRule>
  </conditionalFormatting>
  <conditionalFormatting sqref="J284">
    <cfRule type="cellIs" dxfId="78" priority="247" stopIfTrue="1" operator="equal">
      <formula>"Crew Hours!"</formula>
    </cfRule>
  </conditionalFormatting>
  <conditionalFormatting sqref="D270">
    <cfRule type="cellIs" dxfId="77" priority="249" stopIfTrue="1" operator="equal">
      <formula>"Select Fleet"</formula>
    </cfRule>
  </conditionalFormatting>
  <conditionalFormatting sqref="C270">
    <cfRule type="cellIs" dxfId="76" priority="248" stopIfTrue="1" operator="equal">
      <formula>"Select Fleet"</formula>
    </cfRule>
  </conditionalFormatting>
  <conditionalFormatting sqref="I284">
    <cfRule type="cellIs" dxfId="75" priority="246" stopIfTrue="1" operator="equal">
      <formula>"Crew Hours!"</formula>
    </cfRule>
  </conditionalFormatting>
  <conditionalFormatting sqref="E228">
    <cfRule type="cellIs" dxfId="74" priority="233" stopIfTrue="1" operator="equal">
      <formula>"Crew Hours!"</formula>
    </cfRule>
  </conditionalFormatting>
  <conditionalFormatting sqref="C213:C214">
    <cfRule type="cellIs" dxfId="73" priority="234" stopIfTrue="1" operator="equal">
      <formula>"Crew Hours!"</formula>
    </cfRule>
  </conditionalFormatting>
  <conditionalFormatting sqref="D228:D229">
    <cfRule type="cellIs" dxfId="72" priority="231" stopIfTrue="1" operator="equal">
      <formula>"Crew Hours!"</formula>
    </cfRule>
  </conditionalFormatting>
  <conditionalFormatting sqref="C228:C230">
    <cfRule type="cellIs" dxfId="71" priority="232" stopIfTrue="1" operator="equal">
      <formula>"Crew Hours!"</formula>
    </cfRule>
  </conditionalFormatting>
  <conditionalFormatting sqref="D141:D142">
    <cfRule type="cellIs" dxfId="70" priority="228" stopIfTrue="1" operator="equal">
      <formula>"Crew Hours!"</formula>
    </cfRule>
  </conditionalFormatting>
  <conditionalFormatting sqref="D140:D142">
    <cfRule type="cellIs" dxfId="69" priority="229" stopIfTrue="1" operator="equal">
      <formula>"Crew Hours!"</formula>
    </cfRule>
  </conditionalFormatting>
  <conditionalFormatting sqref="C199:C200">
    <cfRule type="cellIs" dxfId="68" priority="224" stopIfTrue="1" operator="equal">
      <formula>"Crew Hours!"</formula>
    </cfRule>
  </conditionalFormatting>
  <conditionalFormatting sqref="D199:D200">
    <cfRule type="cellIs" dxfId="67" priority="221" stopIfTrue="1" operator="equal">
      <formula>"Crew Hours!"</formula>
    </cfRule>
  </conditionalFormatting>
  <conditionalFormatting sqref="C185">
    <cfRule type="cellIs" dxfId="66" priority="222" stopIfTrue="1" operator="equal">
      <formula>"Crew Hours!"</formula>
    </cfRule>
  </conditionalFormatting>
  <conditionalFormatting sqref="E284">
    <cfRule type="cellIs" dxfId="65" priority="206" stopIfTrue="1" operator="equal">
      <formula>"Crew Hours!"</formula>
    </cfRule>
  </conditionalFormatting>
  <conditionalFormatting sqref="D284">
    <cfRule type="cellIs" dxfId="64" priority="205" stopIfTrue="1" operator="equal">
      <formula>"Crew Hours!"</formula>
    </cfRule>
  </conditionalFormatting>
  <conditionalFormatting sqref="E283">
    <cfRule type="cellIs" dxfId="63" priority="208" stopIfTrue="1" operator="equal">
      <formula>"Crew Hours!"</formula>
    </cfRule>
  </conditionalFormatting>
  <conditionalFormatting sqref="D283">
    <cfRule type="cellIs" dxfId="62" priority="207" stopIfTrue="1" operator="equal">
      <formula>"Crew Hours!"</formula>
    </cfRule>
  </conditionalFormatting>
  <conditionalFormatting sqref="C141:C142">
    <cfRule type="cellIs" dxfId="61" priority="195" stopIfTrue="1" operator="equal">
      <formula>"Crew Hours!"</formula>
    </cfRule>
  </conditionalFormatting>
  <conditionalFormatting sqref="D141:D142">
    <cfRule type="cellIs" dxfId="60" priority="194" stopIfTrue="1" operator="equal">
      <formula>"Crew Hours!"</formula>
    </cfRule>
  </conditionalFormatting>
  <conditionalFormatting sqref="D141:D142">
    <cfRule type="cellIs" dxfId="59" priority="193" stopIfTrue="1" operator="equal">
      <formula>"Crew Hours!"</formula>
    </cfRule>
  </conditionalFormatting>
  <conditionalFormatting sqref="D329:D330">
    <cfRule type="cellIs" dxfId="58" priority="141" stopIfTrue="1" operator="equal">
      <formula>"Select Fleet"</formula>
    </cfRule>
  </conditionalFormatting>
  <conditionalFormatting sqref="D230:D231">
    <cfRule type="cellIs" dxfId="57" priority="137" stopIfTrue="1" operator="equal">
      <formula>"Crew Hours!"</formula>
    </cfRule>
  </conditionalFormatting>
  <conditionalFormatting sqref="D128:F129">
    <cfRule type="cellIs" dxfId="56" priority="120" stopIfTrue="1" operator="equal">
      <formula>"Select Fleet"</formula>
    </cfRule>
    <cfRule type="cellIs" dxfId="55" priority="121" stopIfTrue="1" operator="equal">
      <formula>"Material Type!"</formula>
    </cfRule>
  </conditionalFormatting>
  <conditionalFormatting sqref="D143:D144">
    <cfRule type="cellIs" dxfId="54" priority="118" stopIfTrue="1" operator="equal">
      <formula>"Crew Hours!"</formula>
    </cfRule>
  </conditionalFormatting>
  <conditionalFormatting sqref="D143:D144">
    <cfRule type="cellIs" dxfId="53" priority="119" stopIfTrue="1" operator="equal">
      <formula>"Crew Hours!"</formula>
    </cfRule>
  </conditionalFormatting>
  <conditionalFormatting sqref="C143:C144">
    <cfRule type="cellIs" dxfId="52" priority="117" stopIfTrue="1" operator="equal">
      <formula>"Crew Hours!"</formula>
    </cfRule>
  </conditionalFormatting>
  <conditionalFormatting sqref="D143:D144">
    <cfRule type="cellIs" dxfId="51" priority="116" stopIfTrue="1" operator="equal">
      <formula>"Crew Hours!"</formula>
    </cfRule>
  </conditionalFormatting>
  <conditionalFormatting sqref="D143:D144">
    <cfRule type="cellIs" dxfId="50" priority="115" stopIfTrue="1" operator="equal">
      <formula>"Crew Hours!"</formula>
    </cfRule>
  </conditionalFormatting>
  <conditionalFormatting sqref="D232:D234">
    <cfRule type="cellIs" dxfId="49" priority="100" stopIfTrue="1" operator="equal">
      <formula>"Crew Hours!"</formula>
    </cfRule>
  </conditionalFormatting>
  <conditionalFormatting sqref="D130:F130">
    <cfRule type="cellIs" dxfId="48" priority="98" stopIfTrue="1" operator="equal">
      <formula>"Select Fleet"</formula>
    </cfRule>
    <cfRule type="cellIs" dxfId="47" priority="99" stopIfTrue="1" operator="equal">
      <formula>"Material Type!"</formula>
    </cfRule>
  </conditionalFormatting>
  <conditionalFormatting sqref="D145">
    <cfRule type="cellIs" dxfId="46" priority="93" stopIfTrue="1" operator="equal">
      <formula>"Crew Hours!"</formula>
    </cfRule>
  </conditionalFormatting>
  <conditionalFormatting sqref="D145">
    <cfRule type="cellIs" dxfId="45" priority="96" stopIfTrue="1" operator="equal">
      <formula>"Crew Hours!"</formula>
    </cfRule>
  </conditionalFormatting>
  <conditionalFormatting sqref="D145">
    <cfRule type="cellIs" dxfId="44" priority="97" stopIfTrue="1" operator="equal">
      <formula>"Crew Hours!"</formula>
    </cfRule>
  </conditionalFormatting>
  <conditionalFormatting sqref="C145">
    <cfRule type="cellIs" dxfId="43" priority="95" stopIfTrue="1" operator="equal">
      <formula>"Crew Hours!"</formula>
    </cfRule>
  </conditionalFormatting>
  <conditionalFormatting sqref="D145">
    <cfRule type="cellIs" dxfId="42" priority="94" stopIfTrue="1" operator="equal">
      <formula>"Crew Hours!"</formula>
    </cfRule>
  </conditionalFormatting>
  <conditionalFormatting sqref="D408:E408">
    <cfRule type="cellIs" dxfId="41" priority="56" stopIfTrue="1" operator="equal">
      <formula>"Error!"</formula>
    </cfRule>
  </conditionalFormatting>
  <conditionalFormatting sqref="C345:D346 C347 F345:F347 F349:F353 F355:F361">
    <cfRule type="cellIs" dxfId="40" priority="67" stopIfTrue="1" operator="equal">
      <formula>"Error!"</formula>
    </cfRule>
  </conditionalFormatting>
  <conditionalFormatting sqref="F348">
    <cfRule type="cellIs" dxfId="39" priority="66" stopIfTrue="1" operator="equal">
      <formula>"Error!"</formula>
    </cfRule>
  </conditionalFormatting>
  <conditionalFormatting sqref="D347:E347">
    <cfRule type="cellIs" dxfId="38" priority="65" stopIfTrue="1" operator="equal">
      <formula>"Error!"</formula>
    </cfRule>
  </conditionalFormatting>
  <conditionalFormatting sqref="C385:D386 C387 F385:F387 F389:F393 F395:F402">
    <cfRule type="cellIs" dxfId="37" priority="64" stopIfTrue="1" operator="equal">
      <formula>"Error!"</formula>
    </cfRule>
  </conditionalFormatting>
  <conditionalFormatting sqref="F388">
    <cfRule type="cellIs" dxfId="36" priority="63" stopIfTrue="1" operator="equal">
      <formula>"Error!"</formula>
    </cfRule>
  </conditionalFormatting>
  <conditionalFormatting sqref="D387:E387">
    <cfRule type="cellIs" dxfId="35" priority="62" stopIfTrue="1" operator="equal">
      <formula>"Error!"</formula>
    </cfRule>
  </conditionalFormatting>
  <conditionalFormatting sqref="C365:D366 C367 F365:F367 F369:F373 F375:F381">
    <cfRule type="cellIs" dxfId="34" priority="61" stopIfTrue="1" operator="equal">
      <formula>"Error!"</formula>
    </cfRule>
  </conditionalFormatting>
  <conditionalFormatting sqref="F368">
    <cfRule type="cellIs" dxfId="33" priority="60" stopIfTrue="1" operator="equal">
      <formula>"Error!"</formula>
    </cfRule>
  </conditionalFormatting>
  <conditionalFormatting sqref="D367:E367">
    <cfRule type="cellIs" dxfId="32" priority="59" stopIfTrue="1" operator="equal">
      <formula>"Error!"</formula>
    </cfRule>
  </conditionalFormatting>
  <conditionalFormatting sqref="C406:D407 C408 F406:F408 F410:F414 F416:F422">
    <cfRule type="cellIs" dxfId="31" priority="58" stopIfTrue="1" operator="equal">
      <formula>"Error!"</formula>
    </cfRule>
  </conditionalFormatting>
  <conditionalFormatting sqref="F409">
    <cfRule type="cellIs" dxfId="30" priority="57" stopIfTrue="1" operator="equal">
      <formula>"Error!"</formula>
    </cfRule>
  </conditionalFormatting>
  <conditionalFormatting sqref="Q322:Q325">
    <cfRule type="cellIs" dxfId="29" priority="47" stopIfTrue="1" operator="equal">
      <formula>"Select Fleet"</formula>
    </cfRule>
    <cfRule type="cellIs" dxfId="28" priority="48" stopIfTrue="1" operator="equal">
      <formula>"Material Type!"</formula>
    </cfRule>
  </conditionalFormatting>
  <conditionalFormatting sqref="N315:N320">
    <cfRule type="cellIs" dxfId="27" priority="51" stopIfTrue="1" operator="equal">
      <formula>"Select Fleet"</formula>
    </cfRule>
  </conditionalFormatting>
  <conditionalFormatting sqref="Q314 O315:P320 Q316:Q321">
    <cfRule type="cellIs" dxfId="26" priority="52" stopIfTrue="1" operator="equal">
      <formula>"Select Fleet"</formula>
    </cfRule>
    <cfRule type="cellIs" dxfId="25" priority="53" stopIfTrue="1" operator="equal">
      <formula>"Material Type!"</formula>
    </cfRule>
  </conditionalFormatting>
  <conditionalFormatting sqref="Q312">
    <cfRule type="cellIs" dxfId="24" priority="42" stopIfTrue="1" operator="equal">
      <formula>"Select Fleet"</formula>
    </cfRule>
    <cfRule type="cellIs" dxfId="23" priority="43" stopIfTrue="1" operator="equal">
      <formula>"Material Type!"</formula>
    </cfRule>
  </conditionalFormatting>
  <conditionalFormatting sqref="Q251">
    <cfRule type="cellIs" dxfId="22" priority="40" stopIfTrue="1" operator="equal">
      <formula>"Select Fleet"</formula>
    </cfRule>
    <cfRule type="cellIs" dxfId="21" priority="41" stopIfTrue="1" operator="equal">
      <formula>"Material Type!"</formula>
    </cfRule>
  </conditionalFormatting>
  <conditionalFormatting sqref="E448">
    <cfRule type="cellIs" dxfId="20" priority="22" stopIfTrue="1" operator="equal">
      <formula>"Error!"</formula>
    </cfRule>
  </conditionalFormatting>
  <conditionalFormatting sqref="C446:D446 F446:F448 F450:F454 C447:C448 D447:E447 D448 F456:F462">
    <cfRule type="cellIs" dxfId="19" priority="24" stopIfTrue="1" operator="equal">
      <formula>"Error!"</formula>
    </cfRule>
  </conditionalFormatting>
  <conditionalFormatting sqref="F449">
    <cfRule type="cellIs" dxfId="18" priority="23" stopIfTrue="1" operator="equal">
      <formula>"Error!"</formula>
    </cfRule>
  </conditionalFormatting>
  <conditionalFormatting sqref="D428:E428">
    <cfRule type="cellIs" dxfId="17" priority="19" stopIfTrue="1" operator="equal">
      <formula>"Error!"</formula>
    </cfRule>
  </conditionalFormatting>
  <conditionalFormatting sqref="C426:D427 C428 F426:F428 F430:F442">
    <cfRule type="cellIs" dxfId="16" priority="21" stopIfTrue="1" operator="equal">
      <formula>"Error!"</formula>
    </cfRule>
  </conditionalFormatting>
  <conditionalFormatting sqref="F429">
    <cfRule type="cellIs" dxfId="15" priority="20" stopIfTrue="1" operator="equal">
      <formula>"Error!"</formula>
    </cfRule>
  </conditionalFormatting>
  <conditionalFormatting sqref="D255 C257:C262">
    <cfRule type="cellIs" dxfId="14" priority="14" stopIfTrue="1" operator="equal">
      <formula>"Select Fleet"</formula>
    </cfRule>
  </conditionalFormatting>
  <conditionalFormatting sqref="E255:F256">
    <cfRule type="cellIs" dxfId="13" priority="15" stopIfTrue="1" operator="equal">
      <formula>"Select Fleet"</formula>
    </cfRule>
    <cfRule type="cellIs" dxfId="12" priority="16" stopIfTrue="1" operator="equal">
      <formula>"Material Type!"</formula>
    </cfRule>
  </conditionalFormatting>
  <conditionalFormatting sqref="C255">
    <cfRule type="cellIs" dxfId="11" priority="13" stopIfTrue="1" operator="equal">
      <formula>"Select Fleet"</formula>
    </cfRule>
  </conditionalFormatting>
  <conditionalFormatting sqref="D256">
    <cfRule type="cellIs" dxfId="10" priority="12" stopIfTrue="1" operator="equal">
      <formula>"Select Fleet"</formula>
    </cfRule>
  </conditionalFormatting>
  <conditionalFormatting sqref="C256">
    <cfRule type="cellIs" dxfId="9" priority="11" stopIfTrue="1" operator="equal">
      <formula>"Select Fleet"</formula>
    </cfRule>
  </conditionalFormatting>
  <conditionalFormatting sqref="D257:D262">
    <cfRule type="cellIs" dxfId="8" priority="10" stopIfTrue="1" operator="equal">
      <formula>"Select Fleet"</formula>
    </cfRule>
  </conditionalFormatting>
  <conditionalFormatting sqref="F455">
    <cfRule type="cellIs" dxfId="7" priority="8" stopIfTrue="1" operator="equal">
      <formula>"Error!"</formula>
    </cfRule>
  </conditionalFormatting>
  <conditionalFormatting sqref="F354">
    <cfRule type="cellIs" dxfId="6" priority="4" stopIfTrue="1" operator="equal">
      <formula>"Error!"</formula>
    </cfRule>
  </conditionalFormatting>
  <conditionalFormatting sqref="F415">
    <cfRule type="cellIs" dxfId="5" priority="7" stopIfTrue="1" operator="equal">
      <formula>"Error!"</formula>
    </cfRule>
  </conditionalFormatting>
  <conditionalFormatting sqref="F394">
    <cfRule type="cellIs" dxfId="4" priority="6" stopIfTrue="1" operator="equal">
      <formula>"Error!"</formula>
    </cfRule>
  </conditionalFormatting>
  <conditionalFormatting sqref="F374">
    <cfRule type="cellIs" dxfId="3" priority="5" stopIfTrue="1" operator="equal">
      <formula>"Error!"</formula>
    </cfRule>
  </conditionalFormatting>
  <conditionalFormatting sqref="C4:F4">
    <cfRule type="cellIs" dxfId="2" priority="3" stopIfTrue="1" operator="equal">
      <formula>"Error!"</formula>
    </cfRule>
  </conditionalFormatting>
  <conditionalFormatting sqref="C271:C276 G271:G276">
    <cfRule type="cellIs" dxfId="1" priority="2" stopIfTrue="1" operator="equal">
      <formula>"Select Fleet"</formula>
    </cfRule>
  </conditionalFormatting>
  <conditionalFormatting sqref="D271:D276">
    <cfRule type="cellIs" dxfId="0" priority="1" stopIfTrue="1" operator="equal">
      <formula>"Select Fleet"</formula>
    </cfRule>
  </conditionalFormatting>
  <dataValidations disablePrompts="1" xWindow="1144" yWindow="755" count="37">
    <dataValidation type="decimal" allowBlank="1" showInputMessage="1" showErrorMessage="1" errorTitle="Numeric Data Only" error="You must enter numerical data in this field" sqref="G35">
      <formula1>0</formula1>
      <formula2>1000000</formula2>
    </dataValidation>
    <dataValidation type="list" allowBlank="1" showInputMessage="1" showErrorMessage="1" prompt="select fertilizer from list" sqref="Q112 I119 R102:R111">
      <formula1>Fertilizers</formula1>
    </dataValidation>
    <dataValidation type="decimal" allowBlank="1" showInputMessage="1" showErrorMessage="1" error="Input out ofallowable range_x000a_between -0.225 to 0.175  " prompt="positive value = uphill empty_x000a__x000a_negative value = uphill loaded" sqref="F80:F89 H102:H111 C90:C91 D68 E69 I90">
      <formula1>-0.225</formula1>
      <formula2>0.175</formula2>
    </dataValidation>
    <dataValidation type="list" allowBlank="1" showInputMessage="1" showErrorMessage="1" prompt="Select equipment from list" sqref="B671:B673 B667:B669 J466 D672:D674 D667:D669 P500:P504 B675:B677 Q507:Q508 Q502:Q503 F667:F668 F672:F673 F677:F678 R507 H671 H675 R503 H667 H679 J667:J668 J675:J677 J671:J672 J679:J680 Y679:Y680 B679:B680 Q679:Q680">
      <formula1>EquipmentOperatorClassificationsList</formula1>
    </dataValidation>
    <dataValidation type="list" allowBlank="1" showInputMessage="1" showErrorMessage="1" prompt="select cover material" sqref="Q102:Q111 G81:G89">
      <formula1>CoverMaterials</formula1>
    </dataValidation>
    <dataValidation showInputMessage="1" showErrorMessage="1" sqref="I156:I161"/>
    <dataValidation type="list" allowBlank="1" showInputMessage="1" showErrorMessage="1" prompt="Enter seed mix from list" sqref="L86:L89">
      <formula1>SeedMixes</formula1>
    </dataValidation>
    <dataValidation type="list" allowBlank="1" showInputMessage="1" showErrorMessage="1" prompt="yes or no" sqref="K86:K89">
      <formula1>$K$643:$K$644</formula1>
    </dataValidation>
    <dataValidation type="list" allowBlank="1" showInputMessage="1" showErrorMessage="1" prompt="Sum of the world" sqref="P32">
      <formula1>incremental</formula1>
    </dataValidation>
    <dataValidation type="list" allowBlank="1" showInputMessage="1" showErrorMessage="1" prompt="Here it is" sqref="P30">
      <formula1>OneSix</formula1>
    </dataValidation>
    <dataValidation type="list" showInputMessage="1" showErrorMessage="1" prompt="select material to excavate" sqref="L34:L43">
      <formula1>DozerMaterial</formula1>
    </dataValidation>
    <dataValidation type="decimal" allowBlank="1" showInputMessage="1" showErrorMessage="1" error="Input out ofallowable range_x000a_between -0.225 to 0.175 " prompt="positive value = uphill empty_x000a__x000a_negative value = uphill loaded" sqref="F58:F67">
      <formula1>-0.225</formula1>
      <formula2>0.175</formula2>
    </dataValidation>
    <dataValidation type="list" showInputMessage="1" showErrorMessage="1" prompt="select material to bulldoze" sqref="D58:D67 I58:I67">
      <formula1>DozerMaterial</formula1>
    </dataValidation>
    <dataValidation type="list" allowBlank="1" showInputMessage="1" showErrorMessage="1" prompt="Select pond from list" sqref="F108:F111">
      <formula1>$J$642:$J$645</formula1>
    </dataValidation>
    <dataValidation type="list" allowBlank="1" showInputMessage="1" prompt="Select pond from list" sqref="F102:F107">
      <formula1>$J$642:$J$645</formula1>
    </dataValidation>
    <dataValidation type="list" allowBlank="1" showInputMessage="1" showErrorMessage="1" prompt="Select fleet from list" sqref="G62">
      <formula1>$D$661:$D$663</formula1>
    </dataValidation>
    <dataValidation type="list" errorStyle="warning" allowBlank="1" showInputMessage="1" prompt="Select fleet from list" sqref="H80:H89">
      <formula1>$D$659:$D$663</formula1>
    </dataValidation>
    <dataValidation type="list" allowBlank="1" showInputMessage="1" showErrorMessage="1" prompt="Select fleet from list" sqref="K64:K67">
      <formula1>$J$659:$J$663</formula1>
    </dataValidation>
    <dataValidation type="list" allowBlank="1" showInputMessage="1" showErrorMessage="1" prompt="Select fleet from list" sqref="G58:G61">
      <formula1>$B$659:$B$663</formula1>
    </dataValidation>
    <dataValidation type="list" allowBlank="1" showInputMessage="1" showErrorMessage="1" prompt="select ripping fleet" sqref="O86:O89">
      <formula1>$H$659:$H$663</formula1>
    </dataValidation>
    <dataValidation type="list" allowBlank="1" showInputMessage="1" showErrorMessage="1" prompt="select fleet from list" sqref="N34:N38 N40:N43">
      <formula1>$F$659:$F$663</formula1>
    </dataValidation>
    <dataValidation type="list" errorStyle="information" allowBlank="1" showInputMessage="1" prompt="Select fleet from list" sqref="G63:G67">
      <formula1>$D$661:$D$663</formula1>
    </dataValidation>
    <dataValidation type="list" allowBlank="1" showInputMessage="1" prompt="select fleet from list" sqref="N39">
      <formula1>$F$659:$F$663</formula1>
    </dataValidation>
    <dataValidation type="list" allowBlank="1" showInputMessage="1" prompt="select ripping fleet" sqref="O80:O85">
      <formula1>$H$659:$H$663</formula1>
    </dataValidation>
    <dataValidation type="list" allowBlank="1" showInputMessage="1" showErrorMessage="1" sqref="J58:J67">
      <formula1>$K$642:$K$645</formula1>
    </dataValidation>
    <dataValidation type="list" allowBlank="1" showInputMessage="1" showErrorMessage="1" prompt="Scarify and Riping option not yet available " sqref="K80:K85">
      <formula1>$K$643</formula1>
    </dataValidation>
    <dataValidation type="list" allowBlank="1" showInputMessage="1" showErrorMessage="1" prompt="Select mulch from list" sqref="M80:M89">
      <formula1>$J$650:$J$653</formula1>
    </dataValidation>
    <dataValidation type="list" allowBlank="1" showInputMessage="1" showErrorMessage="1" prompt="select fertilizer from list" sqref="N80:N89">
      <formula1>$K$650:$K$653</formula1>
    </dataValidation>
    <dataValidation type="list" allowBlank="1" showInputMessage="1" showErrorMessage="1" prompt="Enter seed mix from list" sqref="L80:L85">
      <formula1>$L$642:$L$652</formula1>
    </dataValidation>
    <dataValidation type="list" operator="equal" showInputMessage="1" showErrorMessage="1" error="1" prompt="select rock/soil type" sqref="M34:M43">
      <formula1>B627:B637</formula1>
    </dataValidation>
    <dataValidation type="list" allowBlank="1" showInputMessage="1" showErrorMessage="1" prompt="select cover material" sqref="G80">
      <formula1>$B$627:$B$637</formula1>
    </dataValidation>
    <dataValidation type="custom" showInputMessage="1" showErrorMessage="1" sqref="P33">
      <formula1>SUM(C627:C637)</formula1>
    </dataValidation>
    <dataValidation type="list" allowBlank="1" showInputMessage="1" showErrorMessage="1" promptTitle="Source Material" prompt="select back fill source material" sqref="C58:C67">
      <formula1>$B$627:$B$637</formula1>
    </dataValidation>
    <dataValidation type="list" allowBlank="1" showInputMessage="1" showErrorMessage="1" sqref="K58:K63">
      <formula1>$J$659:$J$663</formula1>
    </dataValidation>
    <dataValidation type="list" allowBlank="1" showInputMessage="1" showErrorMessage="1" sqref="C102:C107">
      <formula1>$N$659:$N$663</formula1>
    </dataValidation>
    <dataValidation type="list" allowBlank="1" showInputMessage="1" showErrorMessage="1" sqref="D102:D107">
      <formula1>$M$648:$M$652</formula1>
    </dataValidation>
    <dataValidation type="list" allowBlank="1" showInputMessage="1" showErrorMessage="1" sqref="E102">
      <formula1>$M$642:$M$647</formula1>
    </dataValidation>
  </dataValidations>
  <pageMargins left="0.4" right="0.34" top="0.59" bottom="0.56999999999999995" header="0.61" footer="0.3"/>
  <pageSetup scale="47" fitToHeight="0" orientation="landscape" errors="NA" r:id="rId1"/>
  <headerFooter scaleWithDoc="0">
    <oddFooter>&amp;L&amp;F&amp;CPrinted &amp;D&amp;RNDEP ECell Calculator Page &amp;P of &amp;N</oddFooter>
  </headerFooter>
  <rowBreaks count="12" manualBreakCount="12">
    <brk id="74" max="15" man="1"/>
    <brk id="119" max="15" man="1"/>
    <brk id="149" max="15" man="1"/>
    <brk id="180" max="15" man="1"/>
    <brk id="209" max="15" man="1"/>
    <brk id="237" max="15" man="1"/>
    <brk id="265" max="15" man="1"/>
    <brk id="293" max="15" man="1"/>
    <brk id="322" max="15" man="1"/>
    <brk id="340" max="15" man="1"/>
    <brk id="381" max="15" man="1"/>
    <brk id="422" max="15" man="1"/>
  </rowBreaks>
  <drawing r:id="rId2"/>
  <legacyDrawing r:id="rId3"/>
  <oleObjects>
    <mc:AlternateContent xmlns:mc="http://schemas.openxmlformats.org/markup-compatibility/2006">
      <mc:Choice Requires="x14">
        <oleObject progId="Equation.3" shapeId="1157" r:id="rId4">
          <objectPr defaultSize="0" autoPict="0" r:id="rId5">
            <anchor moveWithCells="1" sizeWithCells="1">
              <from>
                <xdr:col>3</xdr:col>
                <xdr:colOff>419100</xdr:colOff>
                <xdr:row>218</xdr:row>
                <xdr:rowOff>19050</xdr:rowOff>
              </from>
              <to>
                <xdr:col>3</xdr:col>
                <xdr:colOff>809625</xdr:colOff>
                <xdr:row>218</xdr:row>
                <xdr:rowOff>19050</xdr:rowOff>
              </to>
            </anchor>
          </objectPr>
        </oleObject>
      </mc:Choice>
      <mc:Fallback>
        <oleObject progId="Equation.3" shapeId="1157" r:id="rId4"/>
      </mc:Fallback>
    </mc:AlternateContent>
  </oleObjects>
  <controls>
    <mc:AlternateContent xmlns:mc="http://schemas.openxmlformats.org/markup-compatibility/2006">
      <mc:Choice Requires="x14">
        <control shapeId="1143" r:id="rId6" name="TextBox1">
          <controlPr defaultSize="0" autoLine="0" autoPict="0" r:id="rId7">
            <anchor moveWithCells="1">
              <from>
                <xdr:col>6</xdr:col>
                <xdr:colOff>990600</xdr:colOff>
                <xdr:row>0</xdr:row>
                <xdr:rowOff>200025</xdr:rowOff>
              </from>
              <to>
                <xdr:col>8</xdr:col>
                <xdr:colOff>638175</xdr:colOff>
                <xdr:row>0</xdr:row>
                <xdr:rowOff>314325</xdr:rowOff>
              </to>
            </anchor>
          </controlPr>
        </control>
      </mc:Choice>
      <mc:Fallback>
        <control shapeId="1143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disablePrompts="1" xWindow="1144" yWindow="755" count="1">
        <x14:dataValidation type="list" allowBlank="1" showInputMessage="1" showErrorMessage="1">
          <x14:formula1>
            <xm:f>'Unit Costs'!$A$66:$A$70</xm:f>
          </x14:formula1>
          <xm:sqref>E103:E107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  <pageSetUpPr fitToPage="1"/>
  </sheetPr>
  <dimension ref="A1:P361"/>
  <sheetViews>
    <sheetView zoomScale="90" zoomScaleNormal="90" workbookViewId="0">
      <selection activeCell="A3" sqref="A3:K3"/>
    </sheetView>
  </sheetViews>
  <sheetFormatPr defaultRowHeight="15"/>
  <cols>
    <col min="1" max="1" width="30.28515625" customWidth="1"/>
    <col min="2" max="2" width="10.42578125" customWidth="1"/>
    <col min="3" max="3" width="14.7109375" customWidth="1"/>
    <col min="4" max="4" width="9.85546875" customWidth="1"/>
    <col min="5" max="5" width="9.85546875" bestFit="1" customWidth="1"/>
    <col min="6" max="6" width="12" bestFit="1" customWidth="1"/>
    <col min="10" max="10" width="12" bestFit="1" customWidth="1"/>
    <col min="12" max="12" width="10.28515625" customWidth="1"/>
  </cols>
  <sheetData>
    <row r="1" spans="1:16" ht="34.5" customHeight="1">
      <c r="A1" s="1166"/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778"/>
    </row>
    <row r="3" spans="1:16" ht="20.25">
      <c r="A3" s="1200" t="s">
        <v>414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474"/>
      <c r="M3" s="474"/>
      <c r="N3" s="474"/>
      <c r="O3" s="474"/>
      <c r="P3" s="474"/>
    </row>
    <row r="4" spans="1:16" ht="20.25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4"/>
      <c r="M4" s="474"/>
      <c r="N4" s="474"/>
      <c r="O4" s="474"/>
      <c r="P4" s="474"/>
    </row>
    <row r="5" spans="1:16" ht="15.75">
      <c r="A5" s="475" t="s">
        <v>47</v>
      </c>
      <c r="B5" s="474"/>
      <c r="C5" s="474" t="str">
        <f>'E Cell Calculator'!J3</f>
        <v/>
      </c>
      <c r="D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</row>
    <row r="6" spans="1:16" ht="15.75">
      <c r="A6" s="475" t="s">
        <v>44</v>
      </c>
      <c r="B6" s="474"/>
      <c r="C6" s="1197">
        <f ca="1">'E Cell Calculator'!J7</f>
        <v>43444</v>
      </c>
      <c r="D6" s="1197"/>
      <c r="E6" s="1197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</row>
    <row r="7" spans="1:16" ht="15.75">
      <c r="A7" s="475" t="s">
        <v>252</v>
      </c>
      <c r="B7" s="474"/>
      <c r="C7" s="474" t="str">
        <f ca="1">'E Cell Calculator'!J8</f>
        <v>EZ E-Cell Calculator 08-01-18_web.xlsm</v>
      </c>
      <c r="D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</row>
    <row r="8" spans="1:16" ht="15.75">
      <c r="A8" s="475" t="s">
        <v>45</v>
      </c>
      <c r="B8" s="474"/>
      <c r="C8" s="474" t="str">
        <f>'E Cell Calculator'!J9</f>
        <v>1.0.0 Beta 08.01.18</v>
      </c>
      <c r="D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</row>
    <row r="9" spans="1:16" ht="15.75">
      <c r="A9" s="475" t="s">
        <v>46</v>
      </c>
      <c r="B9" s="474"/>
      <c r="C9" s="474" t="str">
        <f>'E Cell Calculator'!J10</f>
        <v>SRCE_Cost_Data_File_1_12_Std_2018.xlsm</v>
      </c>
      <c r="D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</row>
    <row r="10" spans="1:16" ht="15.75">
      <c r="A10" s="475" t="s">
        <v>286</v>
      </c>
      <c r="B10" s="474"/>
      <c r="C10" s="607">
        <f>'E Cell Calculator'!J11</f>
        <v>43313</v>
      </c>
      <c r="D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</row>
    <row r="11" spans="1:16" ht="15.75">
      <c r="A11" s="475"/>
      <c r="B11" s="474"/>
      <c r="C11" s="474"/>
      <c r="D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</row>
    <row r="12" spans="1:16" ht="18">
      <c r="A12" s="326"/>
      <c r="B12" s="474"/>
      <c r="C12" s="474"/>
      <c r="D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</row>
    <row r="13" spans="1:16" ht="18">
      <c r="A13" s="326"/>
      <c r="B13" s="474"/>
      <c r="C13" s="474"/>
      <c r="D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</row>
    <row r="14" spans="1:16">
      <c r="A14" s="473" t="s">
        <v>415</v>
      </c>
      <c r="B14" s="478"/>
      <c r="C14" s="478"/>
      <c r="D14" s="478"/>
      <c r="E14" s="477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</row>
    <row r="15" spans="1:16">
      <c r="A15" s="548" t="s">
        <v>509</v>
      </c>
      <c r="B15" s="478"/>
      <c r="C15" s="478"/>
      <c r="D15" s="478"/>
      <c r="E15" s="477"/>
      <c r="F15" s="395"/>
      <c r="G15" s="474"/>
      <c r="H15" s="474"/>
      <c r="I15" s="474"/>
      <c r="J15" s="474"/>
      <c r="K15" s="474"/>
      <c r="L15" s="474"/>
      <c r="M15" s="474"/>
      <c r="N15" s="474"/>
      <c r="O15" s="474"/>
      <c r="P15" s="474"/>
    </row>
    <row r="16" spans="1:16">
      <c r="A16" s="547" t="s">
        <v>507</v>
      </c>
      <c r="B16" s="1192" t="s">
        <v>508</v>
      </c>
      <c r="C16" s="1193"/>
      <c r="D16" s="1194"/>
      <c r="E16" s="477"/>
      <c r="F16" s="662"/>
      <c r="G16" s="474"/>
      <c r="H16" s="474"/>
      <c r="I16" s="474"/>
      <c r="J16" s="474"/>
      <c r="K16" s="474"/>
      <c r="L16" s="474"/>
      <c r="M16" s="474"/>
      <c r="N16" s="474"/>
      <c r="O16" s="474"/>
      <c r="P16" s="474"/>
    </row>
    <row r="17" spans="1:16">
      <c r="A17" s="659"/>
      <c r="B17" s="660" t="s">
        <v>218</v>
      </c>
      <c r="C17" s="660" t="s">
        <v>2</v>
      </c>
      <c r="D17" s="661" t="s">
        <v>213</v>
      </c>
      <c r="E17" s="477"/>
      <c r="F17" s="395"/>
      <c r="G17" s="474"/>
      <c r="H17" s="474"/>
      <c r="I17" s="474"/>
      <c r="J17" s="474"/>
      <c r="K17" s="474"/>
      <c r="L17" s="474"/>
      <c r="M17" s="474"/>
      <c r="N17" s="474"/>
      <c r="O17" s="474"/>
      <c r="P17" s="474"/>
    </row>
    <row r="18" spans="1:16">
      <c r="A18" s="699" t="s">
        <v>424</v>
      </c>
      <c r="B18" s="700">
        <v>0</v>
      </c>
      <c r="C18" s="700">
        <v>40.549080000000004</v>
      </c>
      <c r="D18" s="701">
        <f>SUM(B18:C18)</f>
        <v>40.549080000000004</v>
      </c>
      <c r="E18" s="477"/>
      <c r="F18" s="395"/>
      <c r="G18" s="474"/>
      <c r="H18" s="474"/>
      <c r="I18" s="474"/>
      <c r="J18" s="474"/>
      <c r="K18" s="474"/>
      <c r="L18" s="474"/>
      <c r="M18" s="474"/>
      <c r="N18" s="474"/>
      <c r="O18" s="474"/>
      <c r="P18" s="474"/>
    </row>
    <row r="19" spans="1:16">
      <c r="A19" s="699" t="s">
        <v>424</v>
      </c>
      <c r="B19" s="700">
        <v>0</v>
      </c>
      <c r="C19" s="700">
        <v>40.549080000000004</v>
      </c>
      <c r="D19" s="701">
        <f t="shared" ref="D19:D23" si="0">SUM(B19:C19)</f>
        <v>40.549080000000004</v>
      </c>
      <c r="E19" s="478"/>
      <c r="F19" s="395"/>
      <c r="G19" s="474"/>
      <c r="H19" s="474"/>
      <c r="I19" s="474"/>
      <c r="J19" s="474"/>
      <c r="K19" s="474"/>
      <c r="L19" s="474"/>
      <c r="M19" s="474"/>
      <c r="N19" s="474"/>
      <c r="O19" s="474"/>
      <c r="P19" s="474"/>
    </row>
    <row r="20" spans="1:16">
      <c r="A20" s="699" t="s">
        <v>424</v>
      </c>
      <c r="B20" s="700">
        <v>0</v>
      </c>
      <c r="C20" s="700">
        <v>40.549080000000004</v>
      </c>
      <c r="D20" s="701">
        <f t="shared" si="0"/>
        <v>40.549080000000004</v>
      </c>
      <c r="E20" s="478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</row>
    <row r="21" spans="1:16">
      <c r="A21" s="699" t="s">
        <v>425</v>
      </c>
      <c r="B21" s="700">
        <v>62.314999999999998</v>
      </c>
      <c r="C21" s="700">
        <v>0</v>
      </c>
      <c r="D21" s="701">
        <f t="shared" si="0"/>
        <v>62.314999999999998</v>
      </c>
      <c r="E21" s="478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</row>
    <row r="22" spans="1:16">
      <c r="A22" s="699" t="s">
        <v>426</v>
      </c>
      <c r="B22" s="700">
        <v>33.587806936416186</v>
      </c>
      <c r="C22" s="700">
        <v>62.087824999999995</v>
      </c>
      <c r="D22" s="701">
        <f t="shared" si="0"/>
        <v>95.675631936416181</v>
      </c>
      <c r="E22" s="478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</row>
    <row r="23" spans="1:16">
      <c r="A23" s="479" t="s">
        <v>5</v>
      </c>
      <c r="B23" s="700">
        <f>SUM(B18:B22)</f>
        <v>95.902806936416184</v>
      </c>
      <c r="C23" s="700">
        <f>SUM(C18:C22)</f>
        <v>183.73506500000002</v>
      </c>
      <c r="D23" s="701">
        <f t="shared" si="0"/>
        <v>279.63787193641622</v>
      </c>
      <c r="E23" s="478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</row>
    <row r="24" spans="1:16">
      <c r="A24" s="474"/>
      <c r="B24" s="478"/>
      <c r="C24" s="478"/>
      <c r="D24" s="478"/>
      <c r="E24" s="478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</row>
    <row r="25" spans="1:16" ht="15.75" thickBot="1">
      <c r="A25" s="473" t="s">
        <v>416</v>
      </c>
      <c r="B25" s="477"/>
      <c r="C25" s="478"/>
      <c r="D25" s="478"/>
      <c r="E25" s="478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</row>
    <row r="26" spans="1:16">
      <c r="A26" s="312"/>
      <c r="B26" s="1201" t="s">
        <v>421</v>
      </c>
      <c r="C26" s="1201" t="s">
        <v>422</v>
      </c>
      <c r="D26" s="1201" t="s">
        <v>423</v>
      </c>
      <c r="E26" s="681"/>
      <c r="F26" s="1195" t="s">
        <v>443</v>
      </c>
      <c r="G26" s="1195"/>
      <c r="H26" s="1195"/>
      <c r="I26" s="1195"/>
      <c r="J26" s="1195"/>
      <c r="K26" s="1195"/>
      <c r="L26" s="1196"/>
      <c r="M26" s="474"/>
      <c r="N26" s="474"/>
      <c r="O26" s="474"/>
      <c r="P26" s="474"/>
    </row>
    <row r="27" spans="1:16">
      <c r="A27" s="698"/>
      <c r="B27" s="1202"/>
      <c r="C27" s="1202"/>
      <c r="D27" s="1202"/>
      <c r="E27" s="682"/>
      <c r="F27" s="668" t="s">
        <v>213</v>
      </c>
      <c r="G27" s="668" t="s">
        <v>218</v>
      </c>
      <c r="H27" s="668" t="s">
        <v>439</v>
      </c>
      <c r="I27" s="668" t="s">
        <v>440</v>
      </c>
      <c r="J27" s="668" t="s">
        <v>441</v>
      </c>
      <c r="K27" s="668" t="s">
        <v>442</v>
      </c>
      <c r="L27" s="675" t="s">
        <v>548</v>
      </c>
      <c r="M27" s="474"/>
      <c r="N27" s="474"/>
      <c r="O27" s="474"/>
      <c r="P27" s="474"/>
    </row>
    <row r="28" spans="1:16">
      <c r="A28" s="674" t="s">
        <v>228</v>
      </c>
      <c r="B28" s="672"/>
      <c r="C28" s="673"/>
      <c r="D28" s="673"/>
      <c r="E28" s="667"/>
      <c r="F28" s="610"/>
      <c r="G28" s="610"/>
      <c r="H28" s="610"/>
      <c r="I28" s="610"/>
      <c r="J28" s="610"/>
      <c r="K28" s="610"/>
      <c r="L28" s="611"/>
      <c r="M28" s="474"/>
      <c r="N28" s="474"/>
      <c r="O28" s="474"/>
      <c r="P28" s="474"/>
    </row>
    <row r="29" spans="1:16">
      <c r="A29" s="460" t="s">
        <v>175</v>
      </c>
      <c r="B29" s="669">
        <v>44.921750000000003</v>
      </c>
      <c r="C29" s="669">
        <f>F29</f>
        <v>380.05511759249157</v>
      </c>
      <c r="D29" s="669">
        <f>B29+C29</f>
        <v>424.97686759249154</v>
      </c>
      <c r="E29" s="682"/>
      <c r="F29" s="670">
        <f>SUM(G29:K29)</f>
        <v>380.05511759249157</v>
      </c>
      <c r="G29" s="670">
        <v>306.81818181818181</v>
      </c>
      <c r="H29" s="671">
        <v>10.55</v>
      </c>
      <c r="I29" s="671">
        <v>3.75</v>
      </c>
      <c r="J29" s="671">
        <v>15.739935774309725</v>
      </c>
      <c r="K29" s="670">
        <f>B110*L29</f>
        <v>43.197000000000003</v>
      </c>
      <c r="L29" s="676">
        <v>17.850000000000001</v>
      </c>
      <c r="M29" s="474"/>
      <c r="N29" s="474"/>
      <c r="O29" s="474"/>
      <c r="P29" s="474"/>
    </row>
    <row r="30" spans="1:16">
      <c r="A30" s="460" t="s">
        <v>178</v>
      </c>
      <c r="B30" s="669">
        <v>44.921750000000003</v>
      </c>
      <c r="C30" s="669">
        <f>F30</f>
        <v>154.76824731818181</v>
      </c>
      <c r="D30" s="669">
        <f>B30+C30</f>
        <v>199.68999731818181</v>
      </c>
      <c r="E30" s="682"/>
      <c r="F30" s="670">
        <f>SUM(G30:K30)</f>
        <v>154.76824731818181</v>
      </c>
      <c r="G30" s="670">
        <v>119.31818181818181</v>
      </c>
      <c r="H30" s="671">
        <v>5.96</v>
      </c>
      <c r="I30" s="671">
        <v>3.5</v>
      </c>
      <c r="J30" s="671">
        <v>4.2100654999999998</v>
      </c>
      <c r="K30" s="670">
        <f>B$110*L30</f>
        <v>21.78</v>
      </c>
      <c r="L30" s="676">
        <v>9</v>
      </c>
      <c r="M30" s="474"/>
      <c r="N30" s="474"/>
      <c r="O30" s="474"/>
      <c r="P30" s="474"/>
    </row>
    <row r="31" spans="1:16">
      <c r="A31" s="697"/>
      <c r="B31" s="684"/>
      <c r="C31" s="684"/>
      <c r="D31" s="684"/>
      <c r="E31" s="667"/>
      <c r="F31" s="685"/>
      <c r="G31" s="685"/>
      <c r="H31" s="686"/>
      <c r="I31" s="686"/>
      <c r="J31" s="686"/>
      <c r="K31" s="685"/>
      <c r="L31" s="694"/>
      <c r="M31" s="474"/>
      <c r="N31" s="474"/>
      <c r="O31" s="474"/>
      <c r="P31" s="474"/>
    </row>
    <row r="32" spans="1:16">
      <c r="A32" s="674" t="s">
        <v>391</v>
      </c>
      <c r="B32" s="688"/>
      <c r="C32" s="689"/>
      <c r="D32" s="689"/>
      <c r="E32" s="667"/>
      <c r="F32" s="690"/>
      <c r="G32" s="263"/>
      <c r="H32" s="691"/>
      <c r="I32" s="691"/>
      <c r="J32" s="691"/>
      <c r="K32" s="690"/>
      <c r="L32" s="696"/>
      <c r="M32" s="474"/>
      <c r="N32" s="474"/>
      <c r="O32" s="474"/>
      <c r="P32" s="474"/>
    </row>
    <row r="33" spans="1:16">
      <c r="A33" s="460" t="s">
        <v>154</v>
      </c>
      <c r="B33" s="669">
        <v>61.071734999999997</v>
      </c>
      <c r="C33" s="669">
        <f t="shared" ref="C33:C52" si="1">F33</f>
        <v>258.49218181818185</v>
      </c>
      <c r="D33" s="669">
        <f t="shared" ref="D33:D35" si="2">B33+C33</f>
        <v>319.56391681818184</v>
      </c>
      <c r="E33" s="682"/>
      <c r="F33" s="670">
        <f t="shared" ref="F33:F52" si="3">SUM(G33:K33)</f>
        <v>258.49218181818185</v>
      </c>
      <c r="G33" s="671">
        <v>181.81818181818181</v>
      </c>
      <c r="H33" s="671">
        <v>10.18</v>
      </c>
      <c r="I33" s="671">
        <v>21.24</v>
      </c>
      <c r="J33" s="671">
        <v>0</v>
      </c>
      <c r="K33" s="670">
        <f>B$110*L33</f>
        <v>45.253999999999998</v>
      </c>
      <c r="L33" s="677">
        <v>18.7</v>
      </c>
      <c r="M33" s="474"/>
      <c r="N33" s="474"/>
      <c r="O33" s="474"/>
      <c r="P33" s="474"/>
    </row>
    <row r="34" spans="1:16">
      <c r="A34" s="460" t="s">
        <v>155</v>
      </c>
      <c r="B34" s="669">
        <v>61.071734999999997</v>
      </c>
      <c r="C34" s="669">
        <f t="shared" si="1"/>
        <v>187.74</v>
      </c>
      <c r="D34" s="669">
        <f t="shared" si="2"/>
        <v>248.811735</v>
      </c>
      <c r="E34" s="682"/>
      <c r="F34" s="670">
        <f t="shared" si="3"/>
        <v>187.74</v>
      </c>
      <c r="G34" s="671">
        <v>131.25</v>
      </c>
      <c r="H34" s="671">
        <v>8.65</v>
      </c>
      <c r="I34" s="671">
        <v>15.17</v>
      </c>
      <c r="J34" s="671">
        <v>0</v>
      </c>
      <c r="K34" s="670">
        <f>B$110*L34</f>
        <v>32.67</v>
      </c>
      <c r="L34" s="677">
        <v>13.5</v>
      </c>
      <c r="M34" s="474"/>
      <c r="N34" s="474"/>
      <c r="O34" s="474"/>
      <c r="P34" s="474"/>
    </row>
    <row r="35" spans="1:16">
      <c r="A35" s="460" t="s">
        <v>157</v>
      </c>
      <c r="B35" s="669">
        <v>61.071734999999997</v>
      </c>
      <c r="C35" s="669">
        <f t="shared" si="1"/>
        <v>92.599636363636364</v>
      </c>
      <c r="D35" s="669">
        <f t="shared" si="2"/>
        <v>153.67137136363635</v>
      </c>
      <c r="E35" s="682"/>
      <c r="F35" s="670">
        <f t="shared" si="3"/>
        <v>92.599636363636364</v>
      </c>
      <c r="G35" s="671">
        <v>64.48863636363636</v>
      </c>
      <c r="H35" s="671">
        <v>7.19</v>
      </c>
      <c r="I35" s="671">
        <v>5.07</v>
      </c>
      <c r="J35" s="671">
        <v>0</v>
      </c>
      <c r="K35" s="670">
        <f>B$110*L35</f>
        <v>15.850999999999999</v>
      </c>
      <c r="L35" s="677">
        <v>6.55</v>
      </c>
      <c r="M35" s="474"/>
      <c r="N35" s="474"/>
      <c r="O35" s="474"/>
      <c r="P35" s="474"/>
    </row>
    <row r="36" spans="1:16">
      <c r="A36" s="697"/>
      <c r="B36" s="684"/>
      <c r="C36" s="684"/>
      <c r="D36" s="684"/>
      <c r="E36" s="667"/>
      <c r="F36" s="685"/>
      <c r="G36" s="686"/>
      <c r="H36" s="686"/>
      <c r="I36" s="686"/>
      <c r="J36" s="686"/>
      <c r="K36" s="685"/>
      <c r="L36" s="687"/>
      <c r="M36" s="474"/>
      <c r="N36" s="474"/>
      <c r="O36" s="474"/>
      <c r="P36" s="474"/>
    </row>
    <row r="37" spans="1:16">
      <c r="A37" s="674" t="s">
        <v>390</v>
      </c>
      <c r="B37" s="688"/>
      <c r="C37" s="689"/>
      <c r="D37" s="689"/>
      <c r="E37" s="667"/>
      <c r="F37" s="690"/>
      <c r="G37" s="691"/>
      <c r="H37" s="691"/>
      <c r="I37" s="691"/>
      <c r="J37" s="691"/>
      <c r="K37" s="690"/>
      <c r="L37" s="692"/>
      <c r="M37" s="474"/>
      <c r="N37" s="474"/>
      <c r="O37" s="474"/>
      <c r="P37" s="474"/>
    </row>
    <row r="38" spans="1:16">
      <c r="A38" s="460" t="s">
        <v>176</v>
      </c>
      <c r="B38" s="669">
        <v>64.309044999999998</v>
      </c>
      <c r="C38" s="669">
        <f t="shared" si="1"/>
        <v>465.14030095353542</v>
      </c>
      <c r="D38" s="669">
        <f t="shared" ref="D38:D40" si="4">B38+C38</f>
        <v>529.44934595353538</v>
      </c>
      <c r="E38" s="682"/>
      <c r="F38" s="670">
        <f t="shared" si="3"/>
        <v>465.14030095353542</v>
      </c>
      <c r="G38" s="671">
        <v>340.90909090909093</v>
      </c>
      <c r="H38" s="671">
        <v>11.87</v>
      </c>
      <c r="I38" s="671">
        <v>32.729999999999997</v>
      </c>
      <c r="J38" s="671">
        <v>23.971210044444444</v>
      </c>
      <c r="K38" s="670">
        <f>B$110*L38</f>
        <v>55.66</v>
      </c>
      <c r="L38" s="677">
        <v>23</v>
      </c>
      <c r="M38" s="474"/>
      <c r="N38" s="474"/>
      <c r="O38" s="474"/>
      <c r="P38" s="474"/>
    </row>
    <row r="39" spans="1:16">
      <c r="A39" s="460" t="s">
        <v>179</v>
      </c>
      <c r="B39" s="669">
        <v>62.371384999999997</v>
      </c>
      <c r="C39" s="669">
        <f t="shared" si="1"/>
        <v>184.68343026262627</v>
      </c>
      <c r="D39" s="669">
        <f t="shared" si="4"/>
        <v>247.05481526262628</v>
      </c>
      <c r="E39" s="682"/>
      <c r="F39" s="670">
        <f t="shared" si="3"/>
        <v>184.68343026262627</v>
      </c>
      <c r="G39" s="671">
        <v>119.31818181818181</v>
      </c>
      <c r="H39" s="671">
        <v>10.72</v>
      </c>
      <c r="I39" s="671">
        <v>14.25</v>
      </c>
      <c r="J39" s="671">
        <v>10.750248444444445</v>
      </c>
      <c r="K39" s="670">
        <f>B$110*L39</f>
        <v>29.645</v>
      </c>
      <c r="L39" s="677">
        <v>12.25</v>
      </c>
      <c r="M39" s="474"/>
      <c r="N39" s="474"/>
      <c r="O39" s="474"/>
      <c r="P39" s="474"/>
    </row>
    <row r="40" spans="1:16">
      <c r="A40" s="460" t="s">
        <v>410</v>
      </c>
      <c r="B40" s="669">
        <v>62.371384999999997</v>
      </c>
      <c r="C40" s="669">
        <f t="shared" si="1"/>
        <v>93.684278181818172</v>
      </c>
      <c r="D40" s="669">
        <f t="shared" si="4"/>
        <v>156.05566318181818</v>
      </c>
      <c r="E40" s="682"/>
      <c r="F40" s="670">
        <f t="shared" si="3"/>
        <v>93.684278181818172</v>
      </c>
      <c r="G40" s="671">
        <v>61.93181818181818</v>
      </c>
      <c r="H40" s="671">
        <v>5.0599999999999996</v>
      </c>
      <c r="I40" s="671">
        <v>10.51</v>
      </c>
      <c r="J40" s="671">
        <v>6.5024600000000001</v>
      </c>
      <c r="K40" s="670">
        <f>B$110*L40</f>
        <v>9.68</v>
      </c>
      <c r="L40" s="677">
        <v>4</v>
      </c>
      <c r="M40" s="474"/>
      <c r="N40" s="474"/>
      <c r="O40" s="474"/>
      <c r="P40" s="474"/>
    </row>
    <row r="41" spans="1:16">
      <c r="A41" s="697"/>
      <c r="B41" s="684"/>
      <c r="C41" s="684"/>
      <c r="D41" s="684"/>
      <c r="E41" s="667"/>
      <c r="F41" s="685"/>
      <c r="G41" s="686"/>
      <c r="H41" s="686"/>
      <c r="I41" s="686"/>
      <c r="J41" s="686"/>
      <c r="K41" s="685"/>
      <c r="L41" s="687"/>
      <c r="M41" s="474"/>
      <c r="N41" s="474"/>
      <c r="O41" s="474"/>
      <c r="P41" s="474"/>
    </row>
    <row r="42" spans="1:16">
      <c r="A42" s="674" t="s">
        <v>392</v>
      </c>
      <c r="B42" s="688"/>
      <c r="C42" s="689"/>
      <c r="D42" s="689"/>
      <c r="E42" s="667"/>
      <c r="F42" s="690"/>
      <c r="G42" s="691"/>
      <c r="H42" s="691"/>
      <c r="I42" s="691"/>
      <c r="J42" s="691"/>
      <c r="K42" s="690"/>
      <c r="L42" s="692"/>
      <c r="M42" s="474"/>
      <c r="N42" s="474"/>
      <c r="O42" s="474"/>
      <c r="P42" s="474"/>
    </row>
    <row r="43" spans="1:16">
      <c r="A43" s="460" t="s">
        <v>382</v>
      </c>
      <c r="B43" s="669">
        <v>62.371384999999997</v>
      </c>
      <c r="C43" s="669">
        <f t="shared" si="1"/>
        <v>179.5389090909091</v>
      </c>
      <c r="D43" s="669">
        <f t="shared" ref="D43:D45" si="5">B43+C43</f>
        <v>241.9102940909091</v>
      </c>
      <c r="E43" s="682"/>
      <c r="F43" s="670">
        <f t="shared" si="3"/>
        <v>179.5389090909091</v>
      </c>
      <c r="G43" s="671">
        <v>127.84090909090909</v>
      </c>
      <c r="H43" s="671">
        <v>6.05</v>
      </c>
      <c r="I43" s="671">
        <v>13.22</v>
      </c>
      <c r="J43" s="671">
        <v>0</v>
      </c>
      <c r="K43" s="670">
        <f>B$110*L43</f>
        <v>32.427999999999997</v>
      </c>
      <c r="L43" s="677">
        <v>13.4</v>
      </c>
      <c r="M43" s="474"/>
      <c r="N43" s="474"/>
      <c r="O43" s="474"/>
      <c r="P43" s="474"/>
    </row>
    <row r="44" spans="1:16">
      <c r="A44" s="460" t="s">
        <v>384</v>
      </c>
      <c r="B44" s="669">
        <v>62.371384999999997</v>
      </c>
      <c r="C44" s="669">
        <f t="shared" si="1"/>
        <v>119.16736363636363</v>
      </c>
      <c r="D44" s="669">
        <f t="shared" si="5"/>
        <v>181.53874863636364</v>
      </c>
      <c r="E44" s="682"/>
      <c r="F44" s="670">
        <f t="shared" si="3"/>
        <v>119.16736363636363</v>
      </c>
      <c r="G44" s="671">
        <v>81.13636363636364</v>
      </c>
      <c r="H44" s="671">
        <v>7.25</v>
      </c>
      <c r="I44" s="671">
        <v>6.46</v>
      </c>
      <c r="J44" s="671">
        <v>0</v>
      </c>
      <c r="K44" s="670">
        <f>B$110*L44</f>
        <v>24.321000000000002</v>
      </c>
      <c r="L44" s="677">
        <v>10.050000000000001</v>
      </c>
      <c r="M44" s="474"/>
      <c r="N44" s="474"/>
      <c r="O44" s="474"/>
      <c r="P44" s="474"/>
    </row>
    <row r="45" spans="1:16">
      <c r="A45" s="460" t="s">
        <v>386</v>
      </c>
      <c r="B45" s="669">
        <v>62.371384999999997</v>
      </c>
      <c r="C45" s="669">
        <f t="shared" si="1"/>
        <v>90.430181818181822</v>
      </c>
      <c r="D45" s="669">
        <f t="shared" si="5"/>
        <v>152.80156681818181</v>
      </c>
      <c r="E45" s="682"/>
      <c r="F45" s="670">
        <f t="shared" si="3"/>
        <v>90.430181818181822</v>
      </c>
      <c r="G45" s="671">
        <v>63.06818181818182</v>
      </c>
      <c r="H45" s="671">
        <v>4.4400000000000004</v>
      </c>
      <c r="I45" s="671">
        <v>5.74</v>
      </c>
      <c r="J45" s="671">
        <v>0</v>
      </c>
      <c r="K45" s="670">
        <f>B$110*L45</f>
        <v>17.181999999999999</v>
      </c>
      <c r="L45" s="677">
        <v>7.1</v>
      </c>
      <c r="M45" s="474"/>
      <c r="N45" s="474"/>
      <c r="O45" s="474"/>
      <c r="P45" s="474"/>
    </row>
    <row r="46" spans="1:16">
      <c r="A46" s="697"/>
      <c r="B46" s="684"/>
      <c r="C46" s="684"/>
      <c r="D46" s="684"/>
      <c r="E46" s="667"/>
      <c r="F46" s="685"/>
      <c r="G46" s="686"/>
      <c r="H46" s="686"/>
      <c r="I46" s="686"/>
      <c r="J46" s="686"/>
      <c r="K46" s="685"/>
      <c r="L46" s="687"/>
      <c r="M46" s="474"/>
      <c r="N46" s="474"/>
      <c r="O46" s="474"/>
      <c r="P46" s="474"/>
    </row>
    <row r="47" spans="1:16">
      <c r="A47" s="674" t="s">
        <v>393</v>
      </c>
      <c r="B47" s="688"/>
      <c r="C47" s="689"/>
      <c r="D47" s="689"/>
      <c r="E47" s="667"/>
      <c r="F47" s="690"/>
      <c r="G47" s="691"/>
      <c r="H47" s="691"/>
      <c r="I47" s="691"/>
      <c r="J47" s="691"/>
      <c r="K47" s="690"/>
      <c r="L47" s="692"/>
      <c r="M47" s="474"/>
      <c r="N47" s="474"/>
      <c r="O47" s="474"/>
      <c r="P47" s="474"/>
    </row>
    <row r="48" spans="1:16">
      <c r="A48" s="460" t="s">
        <v>394</v>
      </c>
      <c r="B48" s="669">
        <v>62.371384999999997</v>
      </c>
      <c r="C48" s="669">
        <f t="shared" si="1"/>
        <v>284.09922656363636</v>
      </c>
      <c r="D48" s="669">
        <f t="shared" ref="D48:D49" si="6">B48+C48</f>
        <v>346.47061156363634</v>
      </c>
      <c r="E48" s="682"/>
      <c r="F48" s="670">
        <f t="shared" si="3"/>
        <v>284.09922656363636</v>
      </c>
      <c r="G48" s="671">
        <v>198.86363636363637</v>
      </c>
      <c r="H48" s="671">
        <v>12.13</v>
      </c>
      <c r="I48" s="671">
        <v>10.39</v>
      </c>
      <c r="J48" s="671">
        <v>8.991590200000001</v>
      </c>
      <c r="K48" s="670">
        <f>B$110*L48</f>
        <v>53.723999999999997</v>
      </c>
      <c r="L48" s="677">
        <v>22.2</v>
      </c>
      <c r="M48" s="474"/>
      <c r="N48" s="474"/>
      <c r="O48" s="474"/>
      <c r="P48" s="474"/>
    </row>
    <row r="49" spans="1:16">
      <c r="A49" s="460" t="s">
        <v>376</v>
      </c>
      <c r="B49" s="669">
        <v>61.863340000000001</v>
      </c>
      <c r="C49" s="669">
        <f t="shared" si="1"/>
        <v>162.52931747272726</v>
      </c>
      <c r="D49" s="669">
        <f t="shared" si="6"/>
        <v>224.39265747272725</v>
      </c>
      <c r="E49" s="682"/>
      <c r="F49" s="670">
        <f t="shared" si="3"/>
        <v>162.52931747272726</v>
      </c>
      <c r="G49" s="671">
        <v>102.27272727272727</v>
      </c>
      <c r="H49" s="671">
        <v>7.3</v>
      </c>
      <c r="I49" s="671">
        <v>8.27</v>
      </c>
      <c r="J49" s="671">
        <v>8.991590200000001</v>
      </c>
      <c r="K49" s="670">
        <f>B$110*L49</f>
        <v>35.695</v>
      </c>
      <c r="L49" s="677">
        <v>14.75</v>
      </c>
      <c r="M49" s="474"/>
      <c r="N49" s="474"/>
      <c r="O49" s="474"/>
      <c r="P49" s="474"/>
    </row>
    <row r="50" spans="1:16">
      <c r="A50" s="697"/>
      <c r="B50" s="684"/>
      <c r="C50" s="684"/>
      <c r="D50" s="684"/>
      <c r="E50" s="667"/>
      <c r="F50" s="685"/>
      <c r="G50" s="686"/>
      <c r="H50" s="686"/>
      <c r="I50" s="686"/>
      <c r="J50" s="686"/>
      <c r="K50" s="685"/>
      <c r="L50" s="687"/>
      <c r="M50" s="474"/>
      <c r="N50" s="474"/>
      <c r="O50" s="474"/>
      <c r="P50" s="474"/>
    </row>
    <row r="51" spans="1:16">
      <c r="A51" s="674" t="s">
        <v>289</v>
      </c>
      <c r="B51" s="688"/>
      <c r="C51" s="689"/>
      <c r="D51" s="689"/>
      <c r="E51" s="667"/>
      <c r="F51" s="690"/>
      <c r="G51" s="691"/>
      <c r="H51" s="691"/>
      <c r="I51" s="691"/>
      <c r="J51" s="691"/>
      <c r="K51" s="690"/>
      <c r="L51" s="692"/>
      <c r="M51" s="474"/>
      <c r="N51" s="474"/>
      <c r="O51" s="474"/>
      <c r="P51" s="474"/>
    </row>
    <row r="52" spans="1:16">
      <c r="A52" s="460" t="s">
        <v>418</v>
      </c>
      <c r="B52" s="669">
        <v>62.087824999999995</v>
      </c>
      <c r="C52" s="669">
        <f t="shared" si="1"/>
        <v>173.97377085927769</v>
      </c>
      <c r="D52" s="669">
        <f t="shared" ref="D52" si="7">B52+C52</f>
        <v>236.0615958592777</v>
      </c>
      <c r="E52" s="682"/>
      <c r="F52" s="670">
        <f t="shared" si="3"/>
        <v>173.97377085927769</v>
      </c>
      <c r="G52" s="671">
        <v>119.31818181818181</v>
      </c>
      <c r="H52" s="671">
        <v>5.69</v>
      </c>
      <c r="I52" s="671">
        <v>20.66</v>
      </c>
      <c r="J52" s="671">
        <v>7.0095890410958903</v>
      </c>
      <c r="K52" s="670">
        <f>B$110*L52</f>
        <v>21.295999999999999</v>
      </c>
      <c r="L52" s="677">
        <v>8.8000000000000007</v>
      </c>
      <c r="N52" s="474"/>
      <c r="O52" s="474"/>
      <c r="P52" s="474"/>
    </row>
    <row r="53" spans="1:16">
      <c r="A53" s="697"/>
      <c r="B53" s="684"/>
      <c r="C53" s="684"/>
      <c r="D53" s="684"/>
      <c r="E53" s="667"/>
      <c r="F53" s="693"/>
      <c r="G53" s="693"/>
      <c r="H53" s="693"/>
      <c r="I53" s="693"/>
      <c r="J53" s="693"/>
      <c r="K53" s="686"/>
      <c r="L53" s="694"/>
      <c r="M53" s="474"/>
      <c r="N53" s="474"/>
      <c r="O53" s="474"/>
      <c r="P53" s="474"/>
    </row>
    <row r="54" spans="1:16">
      <c r="A54" s="674" t="s">
        <v>420</v>
      </c>
      <c r="B54" s="688"/>
      <c r="C54" s="689"/>
      <c r="D54" s="689"/>
      <c r="E54" s="667"/>
      <c r="F54" s="695"/>
      <c r="G54" s="695"/>
      <c r="H54" s="695"/>
      <c r="I54" s="695"/>
      <c r="J54" s="695"/>
      <c r="K54" s="695"/>
      <c r="L54" s="696"/>
      <c r="M54" s="474"/>
      <c r="N54" s="474"/>
      <c r="O54" s="474"/>
      <c r="P54" s="474"/>
    </row>
    <row r="55" spans="1:16" ht="15.75" thickBot="1">
      <c r="A55" s="462" t="s">
        <v>419</v>
      </c>
      <c r="B55" s="678"/>
      <c r="C55" s="678"/>
      <c r="D55" s="678">
        <v>220</v>
      </c>
      <c r="E55" s="683"/>
      <c r="F55" s="679"/>
      <c r="G55" s="679"/>
      <c r="H55" s="679"/>
      <c r="I55" s="679"/>
      <c r="J55" s="679"/>
      <c r="K55" s="679"/>
      <c r="L55" s="680"/>
      <c r="M55" s="474"/>
      <c r="N55" s="474"/>
      <c r="O55" s="474"/>
      <c r="P55" s="474"/>
    </row>
    <row r="56" spans="1:16">
      <c r="A56" s="474"/>
      <c r="B56" s="478"/>
      <c r="C56" s="478"/>
      <c r="D56" s="478"/>
      <c r="E56" s="478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</row>
    <row r="57" spans="1:16">
      <c r="A57" s="474"/>
      <c r="B57" s="478"/>
      <c r="C57" s="478"/>
      <c r="D57" s="478"/>
      <c r="E57" s="478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</row>
    <row r="58" spans="1:16">
      <c r="A58" s="474"/>
      <c r="B58" s="478"/>
      <c r="C58" s="478"/>
      <c r="D58" s="478"/>
      <c r="E58" s="478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</row>
    <row r="59" spans="1:16">
      <c r="A59" s="473" t="s">
        <v>417</v>
      </c>
      <c r="B59" s="478"/>
      <c r="C59" s="478"/>
      <c r="D59" s="478"/>
      <c r="E59" s="478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</row>
    <row r="60" spans="1:16">
      <c r="A60" s="474"/>
      <c r="B60" s="478"/>
      <c r="C60" s="478"/>
      <c r="D60" s="478"/>
      <c r="E60" s="478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</row>
    <row r="61" spans="1:16" ht="15.75" thickBot="1">
      <c r="A61" s="474"/>
      <c r="B61" s="478"/>
      <c r="L61" s="474"/>
      <c r="M61" s="474"/>
      <c r="N61" s="474"/>
      <c r="O61" s="474"/>
      <c r="P61" s="474"/>
    </row>
    <row r="62" spans="1:16" ht="15.75" thickBot="1">
      <c r="A62" s="780" t="s">
        <v>427</v>
      </c>
      <c r="B62" s="781"/>
      <c r="C62" s="542" t="s">
        <v>453</v>
      </c>
      <c r="D62" s="543" t="s">
        <v>454</v>
      </c>
      <c r="E62" s="543" t="s">
        <v>455</v>
      </c>
      <c r="F62" s="544" t="s">
        <v>456</v>
      </c>
      <c r="G62" s="544" t="s">
        <v>205</v>
      </c>
      <c r="H62" s="544" t="s">
        <v>2</v>
      </c>
      <c r="I62" s="544" t="s">
        <v>218</v>
      </c>
      <c r="J62" s="545"/>
      <c r="K62" s="546" t="s">
        <v>213</v>
      </c>
      <c r="L62" s="474"/>
      <c r="M62" s="474"/>
      <c r="N62" s="474"/>
      <c r="O62" s="474"/>
      <c r="P62" s="474"/>
    </row>
    <row r="63" spans="1:16">
      <c r="A63" s="1209" t="s">
        <v>428</v>
      </c>
      <c r="B63" s="1210"/>
      <c r="C63" s="702" t="s">
        <v>429</v>
      </c>
      <c r="D63" s="703" t="s">
        <v>430</v>
      </c>
      <c r="E63" s="703" t="s">
        <v>431</v>
      </c>
      <c r="F63" s="704">
        <v>2000</v>
      </c>
      <c r="G63" s="734" t="s">
        <v>1</v>
      </c>
      <c r="H63" s="735">
        <v>0.41</v>
      </c>
      <c r="I63" s="735">
        <v>0.47</v>
      </c>
      <c r="J63" s="736"/>
      <c r="K63" s="737">
        <f>H63+I63</f>
        <v>0.87999999999999989</v>
      </c>
      <c r="L63" s="474"/>
      <c r="M63" s="474"/>
      <c r="N63" s="474"/>
      <c r="O63" s="474"/>
      <c r="P63" s="474"/>
    </row>
    <row r="64" spans="1:16">
      <c r="A64" s="1211" t="s">
        <v>432</v>
      </c>
      <c r="B64" s="1212"/>
      <c r="C64" s="705" t="s">
        <v>433</v>
      </c>
      <c r="D64" s="706" t="s">
        <v>430</v>
      </c>
      <c r="E64" s="706" t="s">
        <v>434</v>
      </c>
      <c r="F64" s="707">
        <v>3500</v>
      </c>
      <c r="G64" s="738" t="s">
        <v>1</v>
      </c>
      <c r="H64" s="700">
        <v>0.23</v>
      </c>
      <c r="I64" s="700">
        <v>0.12</v>
      </c>
      <c r="J64" s="739"/>
      <c r="K64" s="701">
        <f>H64+I64</f>
        <v>0.35</v>
      </c>
      <c r="L64" s="474"/>
      <c r="M64" s="474"/>
      <c r="N64" s="474"/>
      <c r="O64" s="474"/>
      <c r="P64" s="474"/>
    </row>
    <row r="65" spans="1:16">
      <c r="A65" s="893"/>
      <c r="B65" s="894"/>
      <c r="C65" s="895"/>
      <c r="D65" s="896"/>
      <c r="E65" s="896"/>
      <c r="F65" s="897"/>
      <c r="G65" s="898"/>
      <c r="H65" s="899"/>
      <c r="I65" s="899"/>
      <c r="J65" s="900"/>
      <c r="K65" s="901"/>
      <c r="L65" s="474"/>
      <c r="M65" s="474"/>
      <c r="N65" s="474"/>
      <c r="O65" s="474"/>
      <c r="P65" s="474"/>
    </row>
    <row r="66" spans="1:16">
      <c r="A66" s="893" t="s">
        <v>620</v>
      </c>
      <c r="B66" s="894"/>
      <c r="C66" s="1050" t="s">
        <v>644</v>
      </c>
      <c r="D66" s="896" t="s">
        <v>430</v>
      </c>
      <c r="E66" s="896" t="s">
        <v>437</v>
      </c>
      <c r="F66" s="897">
        <v>19000</v>
      </c>
      <c r="G66" s="898">
        <v>0.42159999999999997</v>
      </c>
      <c r="H66" s="745">
        <f>$C$23/(F66/8)</f>
        <v>7.7362132631578956E-2</v>
      </c>
      <c r="I66" s="745">
        <f>$B$23/(F66/8)</f>
        <v>4.0380129236385759E-2</v>
      </c>
      <c r="J66" s="900"/>
      <c r="K66" s="745">
        <f t="shared" ref="K66" si="8">G66+H66+I66</f>
        <v>0.53934226186796475</v>
      </c>
      <c r="L66" s="474"/>
      <c r="M66" s="474"/>
      <c r="N66" s="474"/>
      <c r="O66" s="474"/>
      <c r="P66" s="474"/>
    </row>
    <row r="67" spans="1:16">
      <c r="A67" s="893" t="s">
        <v>435</v>
      </c>
      <c r="B67" s="894"/>
      <c r="C67" s="895" t="s">
        <v>436</v>
      </c>
      <c r="D67" s="896" t="s">
        <v>430</v>
      </c>
      <c r="E67" s="896" t="s">
        <v>437</v>
      </c>
      <c r="F67" s="897">
        <v>16000</v>
      </c>
      <c r="G67" s="898">
        <v>0.43</v>
      </c>
      <c r="H67" s="902">
        <f t="shared" ref="H67:H70" si="9">$C$23/(F67/8)</f>
        <v>9.1867532500000015E-2</v>
      </c>
      <c r="I67" s="902">
        <f t="shared" ref="I67:I70" si="10">$B$23/(F67/8)</f>
        <v>4.7951403468208094E-2</v>
      </c>
      <c r="J67" s="900"/>
      <c r="K67" s="745">
        <f>G67+H67+I67</f>
        <v>0.5698189359682081</v>
      </c>
      <c r="L67" s="474"/>
      <c r="M67" s="474"/>
      <c r="N67" s="474"/>
      <c r="O67" s="474"/>
      <c r="P67" s="474"/>
    </row>
    <row r="68" spans="1:16">
      <c r="A68" s="893" t="s">
        <v>641</v>
      </c>
      <c r="B68" s="894"/>
      <c r="C68" s="1050" t="s">
        <v>644</v>
      </c>
      <c r="D68" s="896" t="s">
        <v>430</v>
      </c>
      <c r="E68" s="896" t="s">
        <v>437</v>
      </c>
      <c r="F68" s="897">
        <v>12000</v>
      </c>
      <c r="G68" s="898">
        <v>0.48959999999999998</v>
      </c>
      <c r="H68" s="902">
        <f t="shared" si="9"/>
        <v>0.12249004333333334</v>
      </c>
      <c r="I68" s="902">
        <f t="shared" si="10"/>
        <v>6.3935204624277459E-2</v>
      </c>
      <c r="J68" s="900"/>
      <c r="K68" s="745">
        <f>G68+H68+I68</f>
        <v>0.67602524795761076</v>
      </c>
      <c r="L68" s="474"/>
      <c r="M68" s="474"/>
      <c r="N68" s="474"/>
      <c r="O68" s="474"/>
      <c r="P68" s="474"/>
    </row>
    <row r="69" spans="1:16">
      <c r="A69" s="893" t="s">
        <v>642</v>
      </c>
      <c r="B69" s="894"/>
      <c r="C69" s="1050" t="s">
        <v>644</v>
      </c>
      <c r="D69" s="896" t="s">
        <v>430</v>
      </c>
      <c r="E69" s="896" t="s">
        <v>437</v>
      </c>
      <c r="F69" s="897">
        <v>19000</v>
      </c>
      <c r="G69" s="898">
        <v>0.21</v>
      </c>
      <c r="H69" s="902">
        <f t="shared" si="9"/>
        <v>7.7362132631578956E-2</v>
      </c>
      <c r="I69" s="902">
        <f t="shared" si="10"/>
        <v>4.0380129236385759E-2</v>
      </c>
      <c r="J69" s="900"/>
      <c r="K69" s="745">
        <f t="shared" ref="K69" si="11">G69+H69+I69</f>
        <v>0.32774226186796473</v>
      </c>
      <c r="L69" s="474"/>
      <c r="M69" s="474"/>
      <c r="N69" s="474"/>
      <c r="O69" s="474"/>
      <c r="P69" s="474"/>
    </row>
    <row r="70" spans="1:16" ht="15.75" thickBot="1">
      <c r="A70" s="1198" t="s">
        <v>643</v>
      </c>
      <c r="B70" s="1199"/>
      <c r="C70" s="1050" t="s">
        <v>644</v>
      </c>
      <c r="D70" s="709" t="s">
        <v>430</v>
      </c>
      <c r="E70" s="709" t="s">
        <v>437</v>
      </c>
      <c r="F70" s="710">
        <v>20000</v>
      </c>
      <c r="G70" s="740">
        <v>0.22</v>
      </c>
      <c r="H70" s="741">
        <f t="shared" si="9"/>
        <v>7.3494026000000004E-2</v>
      </c>
      <c r="I70" s="741">
        <f t="shared" si="10"/>
        <v>3.8361122774566471E-2</v>
      </c>
      <c r="J70" s="742"/>
      <c r="K70" s="743">
        <f>G70+H70+I70</f>
        <v>0.33185514877456651</v>
      </c>
      <c r="L70" s="474"/>
      <c r="M70" s="474"/>
      <c r="N70" s="474"/>
      <c r="O70" s="474"/>
      <c r="P70" s="474"/>
    </row>
    <row r="71" spans="1:16" ht="15.75" thickBot="1">
      <c r="A71" s="711"/>
      <c r="B71" s="712" t="s">
        <v>438</v>
      </c>
      <c r="C71" s="702"/>
      <c r="D71" s="703"/>
      <c r="E71" s="703"/>
      <c r="F71" s="703"/>
      <c r="G71" s="700">
        <f>G67</f>
        <v>0.43</v>
      </c>
      <c r="H71" s="700">
        <f>H63+H64+H67</f>
        <v>0.73186753250000003</v>
      </c>
      <c r="I71" s="700">
        <f>I63+I64+I67</f>
        <v>0.63795140346820811</v>
      </c>
      <c r="J71" s="739"/>
      <c r="K71" s="743">
        <f>G71+H71+I71</f>
        <v>1.7998189359682082</v>
      </c>
      <c r="L71" s="474"/>
      <c r="M71" s="539"/>
      <c r="N71" s="474"/>
      <c r="O71" s="474"/>
      <c r="P71" s="474"/>
    </row>
    <row r="72" spans="1:16">
      <c r="A72" s="782" t="s">
        <v>474</v>
      </c>
      <c r="B72" s="783"/>
      <c r="C72" s="784"/>
      <c r="D72" s="784"/>
      <c r="E72" s="784"/>
      <c r="F72" s="785" t="s">
        <v>456</v>
      </c>
      <c r="G72" s="539"/>
      <c r="H72" s="539"/>
      <c r="I72" s="539"/>
      <c r="J72" s="539"/>
      <c r="K72" s="786"/>
      <c r="L72" s="474"/>
      <c r="M72" s="540"/>
      <c r="N72" s="474"/>
      <c r="O72" s="474"/>
      <c r="P72" s="474"/>
    </row>
    <row r="73" spans="1:16">
      <c r="A73" s="1203" t="s">
        <v>449</v>
      </c>
      <c r="B73" s="1204"/>
      <c r="C73" s="706" t="s">
        <v>450</v>
      </c>
      <c r="D73" s="706" t="s">
        <v>451</v>
      </c>
      <c r="E73" s="706" t="s">
        <v>452</v>
      </c>
      <c r="F73" s="706">
        <v>28</v>
      </c>
      <c r="G73" s="744" t="s">
        <v>1</v>
      </c>
      <c r="H73" s="745">
        <f>8*C22/F73</f>
        <v>17.739378571428571</v>
      </c>
      <c r="I73" s="745">
        <f>8*B22/F73</f>
        <v>9.5965162675474822</v>
      </c>
      <c r="J73" s="746" t="s">
        <v>1</v>
      </c>
      <c r="K73" s="787">
        <f>H73+I73</f>
        <v>27.335894838976053</v>
      </c>
      <c r="L73" s="474"/>
      <c r="M73" s="474"/>
      <c r="N73" s="474"/>
      <c r="O73" s="474"/>
      <c r="P73" s="474"/>
    </row>
    <row r="74" spans="1:16">
      <c r="A74" s="782" t="s">
        <v>58</v>
      </c>
      <c r="B74" s="783"/>
      <c r="C74" s="784"/>
      <c r="D74" s="784"/>
      <c r="E74" s="784"/>
      <c r="F74" s="788"/>
      <c r="G74" s="539"/>
      <c r="H74" s="539"/>
      <c r="I74" s="539"/>
      <c r="J74" s="539"/>
      <c r="K74" s="786"/>
      <c r="L74" s="474"/>
      <c r="M74" s="474"/>
      <c r="N74" s="474"/>
      <c r="O74" s="474"/>
      <c r="P74" s="474"/>
    </row>
    <row r="75" spans="1:16">
      <c r="A75" s="1190" t="s">
        <v>457</v>
      </c>
      <c r="B75" s="1191"/>
      <c r="C75" s="706" t="s">
        <v>458</v>
      </c>
      <c r="D75" s="706" t="s">
        <v>451</v>
      </c>
      <c r="E75" s="706" t="s">
        <v>459</v>
      </c>
      <c r="F75" s="706">
        <v>80.02</v>
      </c>
      <c r="G75" s="744">
        <v>167</v>
      </c>
      <c r="H75" s="745">
        <f>8*1228.66/F75</f>
        <v>122.83529117720572</v>
      </c>
      <c r="I75" s="745">
        <f>8*149.91/F75</f>
        <v>14.987253186703324</v>
      </c>
      <c r="J75" s="747" t="s">
        <v>1</v>
      </c>
      <c r="K75" s="787">
        <f>H75+I75+G75</f>
        <v>304.82254436390906</v>
      </c>
      <c r="L75" s="779"/>
      <c r="M75" s="474"/>
      <c r="N75" s="474"/>
      <c r="O75" s="474"/>
      <c r="P75" s="474"/>
    </row>
    <row r="76" spans="1:16">
      <c r="A76" s="782" t="s">
        <v>473</v>
      </c>
      <c r="B76" s="783"/>
      <c r="C76" s="784"/>
      <c r="D76" s="784"/>
      <c r="E76" s="784"/>
      <c r="F76" s="788"/>
      <c r="G76" s="539"/>
      <c r="H76" s="539"/>
      <c r="I76" s="539"/>
      <c r="J76" s="539"/>
      <c r="K76" s="786"/>
      <c r="L76" s="474"/>
      <c r="M76" s="474"/>
      <c r="N76" s="474"/>
      <c r="O76" s="474"/>
      <c r="P76" s="474"/>
    </row>
    <row r="77" spans="1:16">
      <c r="A77" s="1205" t="s">
        <v>467</v>
      </c>
      <c r="B77" s="1206"/>
      <c r="C77" s="713" t="s">
        <v>468</v>
      </c>
      <c r="D77" s="713" t="s">
        <v>460</v>
      </c>
      <c r="E77" s="713" t="s">
        <v>466</v>
      </c>
      <c r="F77" s="713">
        <v>400</v>
      </c>
      <c r="G77" s="748">
        <v>2.2000000000000002</v>
      </c>
      <c r="H77" s="749">
        <f>8*245.65/F77</f>
        <v>4.9130000000000003</v>
      </c>
      <c r="I77" s="749">
        <f>8*258.63/F77</f>
        <v>5.1726000000000001</v>
      </c>
      <c r="J77" s="750" t="s">
        <v>1</v>
      </c>
      <c r="K77" s="789">
        <f>H77+I77+G77</f>
        <v>12.285599999999999</v>
      </c>
      <c r="L77" s="474"/>
      <c r="M77" s="474"/>
      <c r="N77" s="474"/>
      <c r="O77" s="474"/>
      <c r="P77" s="474"/>
    </row>
    <row r="78" spans="1:16">
      <c r="A78" s="1207" t="s">
        <v>464</v>
      </c>
      <c r="B78" s="1208"/>
      <c r="C78" s="706" t="s">
        <v>465</v>
      </c>
      <c r="D78" s="706" t="s">
        <v>460</v>
      </c>
      <c r="E78" s="706" t="s">
        <v>466</v>
      </c>
      <c r="F78" s="706">
        <v>380</v>
      </c>
      <c r="G78" s="744">
        <v>4.97</v>
      </c>
      <c r="H78" s="745">
        <f>8*245.65/F78</f>
        <v>5.1715789473684213</v>
      </c>
      <c r="I78" s="745">
        <f>8*258.63/F78</f>
        <v>5.4448421052631577</v>
      </c>
      <c r="J78" s="746" t="s">
        <v>1</v>
      </c>
      <c r="K78" s="787">
        <f>H78+I78+G78</f>
        <v>15.586421052631579</v>
      </c>
      <c r="L78" s="474"/>
      <c r="M78" s="474"/>
      <c r="N78" s="474"/>
      <c r="O78" s="474"/>
      <c r="P78" s="474"/>
    </row>
    <row r="79" spans="1:16">
      <c r="A79" s="1203" t="s">
        <v>461</v>
      </c>
      <c r="B79" s="1204"/>
      <c r="C79" s="706" t="s">
        <v>462</v>
      </c>
      <c r="D79" s="706" t="s">
        <v>460</v>
      </c>
      <c r="E79" s="706" t="s">
        <v>463</v>
      </c>
      <c r="F79" s="706">
        <v>1200</v>
      </c>
      <c r="G79" s="744">
        <v>0.65</v>
      </c>
      <c r="H79" s="745">
        <f>8*80.58/F79</f>
        <v>0.53720000000000001</v>
      </c>
      <c r="I79" s="745">
        <f>8*31.14/F79</f>
        <v>0.20760000000000001</v>
      </c>
      <c r="J79" s="746" t="s">
        <v>1</v>
      </c>
      <c r="K79" s="787">
        <f>H79+I79+G79</f>
        <v>1.3948</v>
      </c>
      <c r="L79" s="474"/>
      <c r="M79" s="474"/>
      <c r="N79" s="474"/>
      <c r="O79" s="474"/>
      <c r="P79" s="474"/>
    </row>
    <row r="80" spans="1:16">
      <c r="A80" s="782" t="s">
        <v>472</v>
      </c>
      <c r="B80" s="785"/>
      <c r="C80" s="788"/>
      <c r="D80" s="788"/>
      <c r="E80" s="788"/>
      <c r="F80" s="788"/>
      <c r="G80" s="539"/>
      <c r="H80" s="539"/>
      <c r="I80" s="539" t="s">
        <v>549</v>
      </c>
      <c r="J80" s="539"/>
      <c r="K80" s="786"/>
      <c r="L80" s="474"/>
      <c r="M80" s="474"/>
      <c r="N80" s="474"/>
      <c r="O80" s="474"/>
      <c r="P80" s="474"/>
    </row>
    <row r="81" spans="1:16">
      <c r="A81" s="1203" t="s">
        <v>469</v>
      </c>
      <c r="B81" s="1204"/>
      <c r="C81" s="706" t="s">
        <v>470</v>
      </c>
      <c r="D81" s="706" t="s">
        <v>460</v>
      </c>
      <c r="E81" s="706" t="s">
        <v>471</v>
      </c>
      <c r="F81" s="706">
        <v>180</v>
      </c>
      <c r="G81" s="751">
        <v>39</v>
      </c>
      <c r="H81" s="752">
        <f>8*120.87/F81</f>
        <v>5.3719999999999999</v>
      </c>
      <c r="I81" s="752">
        <f>8*31.14/F81</f>
        <v>1.3840000000000001</v>
      </c>
      <c r="J81" s="746" t="s">
        <v>1</v>
      </c>
      <c r="K81" s="787">
        <f>H81+I81+G81</f>
        <v>45.756</v>
      </c>
      <c r="L81" s="474"/>
      <c r="M81" s="474"/>
      <c r="N81" s="474"/>
      <c r="O81" s="474"/>
      <c r="P81" s="474"/>
    </row>
    <row r="82" spans="1:16">
      <c r="A82" s="782" t="s">
        <v>246</v>
      </c>
      <c r="B82" s="785"/>
      <c r="C82" s="788"/>
      <c r="D82" s="788"/>
      <c r="E82" s="788"/>
      <c r="F82" s="788"/>
      <c r="G82" s="539"/>
      <c r="H82" s="539"/>
      <c r="I82" s="539"/>
      <c r="J82" s="539"/>
      <c r="K82" s="786"/>
      <c r="L82" s="474"/>
      <c r="M82" s="474"/>
      <c r="N82" s="474"/>
      <c r="O82" s="474"/>
      <c r="P82" s="474"/>
    </row>
    <row r="83" spans="1:16" ht="15.75" thickBot="1">
      <c r="A83" s="1198" t="s">
        <v>486</v>
      </c>
      <c r="B83" s="1199"/>
      <c r="C83" s="708"/>
      <c r="D83" s="790" t="s">
        <v>23</v>
      </c>
      <c r="E83" s="708"/>
      <c r="F83" s="708"/>
      <c r="G83" s="791"/>
      <c r="H83" s="792">
        <v>100</v>
      </c>
      <c r="I83" s="792">
        <v>38</v>
      </c>
      <c r="J83" s="793"/>
      <c r="K83" s="794">
        <f>H83+I83+G83</f>
        <v>138</v>
      </c>
      <c r="L83" s="474"/>
      <c r="M83" s="474"/>
      <c r="N83" s="474"/>
      <c r="O83" s="474"/>
      <c r="P83" s="474"/>
    </row>
    <row r="84" spans="1:16">
      <c r="A84" s="474"/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</row>
    <row r="85" spans="1:16" ht="15.75" thickBot="1">
      <c r="A85" s="474"/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</row>
    <row r="86" spans="1:16" ht="15.75" thickBot="1">
      <c r="A86" s="506" t="s">
        <v>234</v>
      </c>
      <c r="B86" s="507" t="s">
        <v>184</v>
      </c>
      <c r="C86" s="508"/>
      <c r="D86" s="509" t="s">
        <v>487</v>
      </c>
      <c r="E86" s="474"/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</row>
    <row r="87" spans="1:16">
      <c r="A87" s="510"/>
      <c r="B87" s="130"/>
      <c r="C87" s="130"/>
      <c r="D87" s="511"/>
      <c r="E87" s="474"/>
      <c r="F87" s="474"/>
      <c r="G87" s="541"/>
      <c r="H87" s="474"/>
      <c r="I87" s="474"/>
      <c r="J87" s="474"/>
      <c r="K87" s="474"/>
      <c r="L87" s="474"/>
      <c r="M87" s="474"/>
      <c r="N87" s="474"/>
      <c r="O87" s="474"/>
      <c r="P87" s="474"/>
    </row>
    <row r="88" spans="1:16">
      <c r="A88" s="714" t="s">
        <v>488</v>
      </c>
      <c r="B88" s="715"/>
      <c r="C88" s="716"/>
      <c r="D88" s="717" t="s">
        <v>1</v>
      </c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</row>
    <row r="89" spans="1:16">
      <c r="A89" s="714" t="s">
        <v>267</v>
      </c>
      <c r="B89" s="718" t="s">
        <v>489</v>
      </c>
      <c r="C89" s="719"/>
      <c r="D89" s="720">
        <v>302.5</v>
      </c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</row>
    <row r="90" spans="1:16">
      <c r="A90" s="714" t="s">
        <v>291</v>
      </c>
      <c r="B90" s="718" t="s">
        <v>490</v>
      </c>
      <c r="C90" s="719"/>
      <c r="D90" s="720">
        <v>332.75</v>
      </c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</row>
    <row r="91" spans="1:16">
      <c r="A91" s="714" t="s">
        <v>292</v>
      </c>
      <c r="B91" s="718" t="s">
        <v>491</v>
      </c>
      <c r="C91" s="719"/>
      <c r="D91" s="720">
        <v>363</v>
      </c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</row>
    <row r="92" spans="1:16">
      <c r="A92" s="714" t="s">
        <v>492</v>
      </c>
      <c r="B92" s="721" t="s">
        <v>493</v>
      </c>
      <c r="C92" s="719"/>
      <c r="D92" s="720">
        <v>393.25</v>
      </c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</row>
    <row r="93" spans="1:16">
      <c r="A93" s="512" t="s">
        <v>293</v>
      </c>
      <c r="B93" s="722" t="s">
        <v>621</v>
      </c>
      <c r="C93" s="723"/>
      <c r="D93" s="724">
        <v>217</v>
      </c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</row>
    <row r="94" spans="1:16">
      <c r="A94" s="513" t="s">
        <v>294</v>
      </c>
      <c r="B94" s="722"/>
      <c r="C94" s="723"/>
      <c r="D94" s="725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</row>
    <row r="95" spans="1:16">
      <c r="A95" s="513" t="s">
        <v>295</v>
      </c>
      <c r="B95" s="722"/>
      <c r="C95" s="723"/>
      <c r="D95" s="725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</row>
    <row r="96" spans="1:16">
      <c r="A96" s="513" t="s">
        <v>296</v>
      </c>
      <c r="B96" s="722"/>
      <c r="C96" s="723"/>
      <c r="D96" s="725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</row>
    <row r="97" spans="1:16"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</row>
    <row r="98" spans="1:16" ht="15.75" thickBot="1">
      <c r="A98" s="515" t="s">
        <v>501</v>
      </c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</row>
    <row r="99" spans="1:16" ht="15.75" thickBot="1">
      <c r="A99" s="506" t="s">
        <v>496</v>
      </c>
      <c r="B99" s="514" t="s">
        <v>497</v>
      </c>
      <c r="C99" s="514" t="s">
        <v>498</v>
      </c>
      <c r="D99" s="509" t="s">
        <v>487</v>
      </c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</row>
    <row r="100" spans="1:16">
      <c r="A100" s="726" t="s">
        <v>494</v>
      </c>
      <c r="B100" s="727">
        <v>0.16222222222222221</v>
      </c>
      <c r="C100" s="728">
        <v>1000</v>
      </c>
      <c r="D100" s="729">
        <f>B100*C100</f>
        <v>162.2222222222222</v>
      </c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</row>
    <row r="101" spans="1:16">
      <c r="A101" s="726" t="s">
        <v>495</v>
      </c>
      <c r="B101" s="727">
        <v>0.25</v>
      </c>
      <c r="C101" s="728">
        <v>1000</v>
      </c>
      <c r="D101" s="729">
        <f t="shared" ref="D101:D103" si="12">B101*C101</f>
        <v>250</v>
      </c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</row>
    <row r="102" spans="1:16">
      <c r="A102" s="726" t="s">
        <v>499</v>
      </c>
      <c r="B102" s="727">
        <v>0.7</v>
      </c>
      <c r="C102" s="728">
        <v>1000</v>
      </c>
      <c r="D102" s="729">
        <f t="shared" si="12"/>
        <v>700</v>
      </c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</row>
    <row r="103" spans="1:16">
      <c r="A103" s="726" t="s">
        <v>500</v>
      </c>
      <c r="B103" s="727">
        <v>0.58679999999999999</v>
      </c>
      <c r="C103" s="728">
        <v>1000</v>
      </c>
      <c r="D103" s="729">
        <f t="shared" si="12"/>
        <v>586.79999999999995</v>
      </c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</row>
    <row r="104" spans="1:16">
      <c r="A104" s="474"/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</row>
    <row r="105" spans="1:16" ht="15.75" thickBot="1">
      <c r="A105" s="474"/>
      <c r="B105" s="474"/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</row>
    <row r="106" spans="1:16">
      <c r="A106" s="664" t="s">
        <v>544</v>
      </c>
      <c r="B106" s="730">
        <v>0.03</v>
      </c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</row>
    <row r="107" spans="1:16">
      <c r="A107" s="663" t="s">
        <v>545</v>
      </c>
      <c r="B107" s="731">
        <v>7.6499999999999999E-2</v>
      </c>
      <c r="D107" s="474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</row>
    <row r="108" spans="1:16" ht="15.75" thickBot="1">
      <c r="A108" s="665" t="s">
        <v>546</v>
      </c>
      <c r="B108" s="1064">
        <v>7.4999999999999997E-2</v>
      </c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</row>
    <row r="109" spans="1:16" ht="15.75" thickBot="1">
      <c r="A109" s="474"/>
      <c r="B109" s="732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</row>
    <row r="110" spans="1:16" ht="15.75" thickBot="1">
      <c r="A110" s="666" t="s">
        <v>547</v>
      </c>
      <c r="B110" s="733">
        <v>2.42</v>
      </c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</row>
    <row r="111" spans="1:16">
      <c r="A111" s="474"/>
      <c r="B111" s="474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</row>
    <row r="112" spans="1:16">
      <c r="A112" s="474"/>
      <c r="B112" s="474"/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</row>
    <row r="113" spans="1:16">
      <c r="A113" s="474"/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</row>
    <row r="114" spans="1:16">
      <c r="A114" s="474"/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</row>
    <row r="115" spans="1:16">
      <c r="A115" s="474"/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</row>
    <row r="116" spans="1:16">
      <c r="A116" s="474"/>
      <c r="B116" s="474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</row>
    <row r="117" spans="1:16">
      <c r="A117" s="474"/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</row>
    <row r="118" spans="1:16">
      <c r="A118" s="474"/>
      <c r="B118" s="474"/>
      <c r="C118" s="474"/>
      <c r="D118" s="474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474"/>
      <c r="P118" s="474"/>
    </row>
    <row r="119" spans="1:16">
      <c r="A119" s="474"/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</row>
    <row r="120" spans="1:16">
      <c r="A120" s="474"/>
      <c r="B120" s="474"/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474"/>
      <c r="P120" s="474"/>
    </row>
    <row r="121" spans="1:16">
      <c r="A121" s="474"/>
      <c r="B121" s="474"/>
      <c r="C121" s="474"/>
      <c r="D121" s="474"/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  <c r="O121" s="474"/>
      <c r="P121" s="474"/>
    </row>
    <row r="122" spans="1:16">
      <c r="A122" s="474"/>
      <c r="B122" s="474"/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4"/>
    </row>
    <row r="123" spans="1:16">
      <c r="A123" s="474"/>
      <c r="B123" s="474"/>
      <c r="C123" s="474"/>
      <c r="D123" s="474"/>
      <c r="E123" s="474"/>
      <c r="F123" s="474"/>
      <c r="G123" s="474"/>
      <c r="H123" s="474"/>
      <c r="I123" s="474"/>
      <c r="J123" s="474"/>
      <c r="K123" s="474"/>
      <c r="L123" s="474"/>
      <c r="M123" s="474"/>
      <c r="N123" s="474"/>
      <c r="O123" s="474"/>
      <c r="P123" s="474"/>
    </row>
    <row r="124" spans="1:16">
      <c r="A124" s="474"/>
      <c r="B124" s="474"/>
      <c r="C124" s="474"/>
      <c r="D124" s="474"/>
      <c r="E124" s="474"/>
      <c r="F124" s="474"/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</row>
    <row r="125" spans="1:16">
      <c r="A125" s="474"/>
      <c r="B125" s="474"/>
      <c r="C125" s="474"/>
      <c r="D125" s="474"/>
      <c r="E125" s="474"/>
      <c r="F125" s="474"/>
      <c r="G125" s="474"/>
      <c r="H125" s="474"/>
      <c r="I125" s="474"/>
      <c r="J125" s="474"/>
      <c r="K125" s="474"/>
      <c r="L125" s="474"/>
      <c r="M125" s="474"/>
      <c r="N125" s="474"/>
      <c r="O125" s="474"/>
      <c r="P125" s="474"/>
    </row>
    <row r="126" spans="1:16">
      <c r="A126" s="474"/>
      <c r="B126" s="474"/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</row>
    <row r="127" spans="1:16">
      <c r="A127" s="474"/>
      <c r="B127" s="474"/>
      <c r="C127" s="474"/>
      <c r="D127" s="474"/>
      <c r="E127" s="474"/>
      <c r="F127" s="474"/>
      <c r="G127" s="474"/>
      <c r="H127" s="474"/>
      <c r="I127" s="474"/>
      <c r="J127" s="474"/>
      <c r="K127" s="474"/>
      <c r="L127" s="474"/>
      <c r="M127" s="474"/>
      <c r="N127" s="474"/>
      <c r="O127" s="474"/>
      <c r="P127" s="474"/>
    </row>
    <row r="128" spans="1:16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  <c r="N128" s="474"/>
      <c r="O128" s="474"/>
      <c r="P128" s="474"/>
    </row>
    <row r="129" spans="1:16">
      <c r="A129" s="474"/>
      <c r="B129" s="474"/>
      <c r="C129" s="474"/>
      <c r="D129" s="474"/>
      <c r="E129" s="474"/>
      <c r="F129" s="474"/>
      <c r="G129" s="474"/>
      <c r="H129" s="474"/>
      <c r="I129" s="474"/>
      <c r="J129" s="474"/>
      <c r="K129" s="474"/>
      <c r="L129" s="474"/>
      <c r="M129" s="474"/>
      <c r="N129" s="474"/>
      <c r="O129" s="474"/>
      <c r="P129" s="474"/>
    </row>
    <row r="130" spans="1:16">
      <c r="A130" s="474"/>
      <c r="B130" s="474"/>
      <c r="C130" s="474"/>
      <c r="D130" s="474"/>
      <c r="E130" s="474"/>
      <c r="F130" s="474"/>
      <c r="G130" s="474"/>
      <c r="H130" s="474"/>
      <c r="I130" s="474"/>
      <c r="J130" s="474"/>
      <c r="K130" s="474"/>
      <c r="L130" s="474"/>
      <c r="M130" s="474"/>
      <c r="N130" s="474"/>
      <c r="O130" s="474"/>
      <c r="P130" s="474"/>
    </row>
    <row r="131" spans="1:16">
      <c r="A131" s="474"/>
      <c r="B131" s="474"/>
      <c r="C131" s="474"/>
      <c r="D131" s="474"/>
      <c r="E131" s="474"/>
      <c r="F131" s="474"/>
      <c r="G131" s="474"/>
      <c r="H131" s="474"/>
      <c r="I131" s="474"/>
      <c r="J131" s="474"/>
      <c r="K131" s="474"/>
      <c r="L131" s="474"/>
      <c r="M131" s="474"/>
      <c r="N131" s="474"/>
      <c r="O131" s="474"/>
      <c r="P131" s="474"/>
    </row>
    <row r="132" spans="1:16">
      <c r="A132" s="474"/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  <c r="P132" s="474"/>
    </row>
    <row r="133" spans="1:16">
      <c r="A133" s="474"/>
      <c r="B133" s="474"/>
      <c r="C133" s="474"/>
      <c r="D133" s="474"/>
      <c r="E133" s="474"/>
      <c r="F133" s="474"/>
      <c r="G133" s="474"/>
      <c r="H133" s="474"/>
      <c r="I133" s="474"/>
      <c r="J133" s="474"/>
      <c r="K133" s="474"/>
      <c r="L133" s="474"/>
      <c r="M133" s="474"/>
      <c r="N133" s="474"/>
      <c r="O133" s="474"/>
      <c r="P133" s="474"/>
    </row>
    <row r="134" spans="1:16">
      <c r="A134" s="474"/>
      <c r="B134" s="474"/>
      <c r="C134" s="474"/>
      <c r="D134" s="474"/>
      <c r="E134" s="474"/>
      <c r="F134" s="474"/>
      <c r="G134" s="474"/>
      <c r="H134" s="474"/>
      <c r="I134" s="474"/>
      <c r="J134" s="474"/>
      <c r="K134" s="474"/>
      <c r="L134" s="474"/>
      <c r="M134" s="474"/>
      <c r="N134" s="474"/>
      <c r="O134" s="474"/>
      <c r="P134" s="474"/>
    </row>
    <row r="135" spans="1:16">
      <c r="A135" s="474"/>
      <c r="B135" s="474"/>
      <c r="C135" s="474"/>
      <c r="D135" s="474"/>
      <c r="E135" s="474"/>
      <c r="F135" s="474"/>
      <c r="G135" s="474"/>
      <c r="H135" s="474"/>
      <c r="I135" s="474"/>
      <c r="J135" s="474"/>
      <c r="K135" s="474"/>
      <c r="L135" s="474"/>
      <c r="M135" s="474"/>
      <c r="N135" s="474"/>
      <c r="O135" s="474"/>
      <c r="P135" s="474"/>
    </row>
    <row r="136" spans="1:16">
      <c r="A136" s="474"/>
      <c r="B136" s="474"/>
      <c r="C136" s="474"/>
      <c r="D136" s="474"/>
      <c r="E136" s="474"/>
      <c r="F136" s="474"/>
      <c r="G136" s="474"/>
      <c r="H136" s="474"/>
      <c r="I136" s="474"/>
      <c r="J136" s="474"/>
      <c r="K136" s="474"/>
      <c r="L136" s="474"/>
      <c r="M136" s="474"/>
      <c r="N136" s="474"/>
      <c r="O136" s="474"/>
      <c r="P136" s="474"/>
    </row>
    <row r="137" spans="1:16">
      <c r="A137" s="474"/>
      <c r="B137" s="474"/>
      <c r="C137" s="474"/>
      <c r="D137" s="474"/>
      <c r="E137" s="474"/>
      <c r="F137" s="474"/>
      <c r="G137" s="474"/>
      <c r="H137" s="474"/>
      <c r="I137" s="474"/>
      <c r="J137" s="474"/>
      <c r="K137" s="474"/>
      <c r="L137" s="474"/>
      <c r="M137" s="474"/>
      <c r="N137" s="474"/>
      <c r="O137" s="474"/>
      <c r="P137" s="474"/>
    </row>
    <row r="138" spans="1:16">
      <c r="A138" s="474"/>
      <c r="B138" s="474"/>
      <c r="C138" s="474"/>
      <c r="D138" s="474"/>
      <c r="E138" s="474"/>
      <c r="F138" s="474"/>
      <c r="G138" s="474"/>
      <c r="H138" s="474"/>
      <c r="I138" s="474"/>
      <c r="J138" s="474"/>
      <c r="K138" s="474"/>
      <c r="L138" s="474"/>
      <c r="M138" s="474"/>
      <c r="N138" s="474"/>
      <c r="O138" s="474"/>
      <c r="P138" s="474"/>
    </row>
    <row r="139" spans="1:16">
      <c r="A139" s="474"/>
      <c r="B139" s="474"/>
      <c r="C139" s="474"/>
      <c r="D139" s="474"/>
      <c r="E139" s="474"/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  <c r="P139" s="474"/>
    </row>
    <row r="140" spans="1:16">
      <c r="A140" s="474"/>
      <c r="B140" s="474"/>
      <c r="C140" s="474"/>
      <c r="D140" s="474"/>
      <c r="E140" s="474"/>
      <c r="F140" s="474"/>
      <c r="G140" s="474"/>
      <c r="H140" s="474"/>
      <c r="I140" s="474"/>
      <c r="J140" s="474"/>
      <c r="K140" s="474"/>
      <c r="L140" s="474"/>
      <c r="M140" s="474"/>
      <c r="N140" s="474"/>
      <c r="O140" s="474"/>
      <c r="P140" s="474"/>
    </row>
    <row r="141" spans="1:16">
      <c r="A141" s="474"/>
      <c r="B141" s="474"/>
      <c r="C141" s="474"/>
      <c r="D141" s="474"/>
      <c r="E141" s="474"/>
      <c r="F141" s="474"/>
      <c r="G141" s="474"/>
      <c r="H141" s="474"/>
      <c r="I141" s="474"/>
      <c r="J141" s="474"/>
      <c r="K141" s="474"/>
      <c r="L141" s="474"/>
      <c r="M141" s="474"/>
      <c r="N141" s="474"/>
      <c r="O141" s="474"/>
      <c r="P141" s="474"/>
    </row>
    <row r="142" spans="1:16">
      <c r="A142" s="474"/>
      <c r="B142" s="474"/>
      <c r="C142" s="474"/>
      <c r="D142" s="474"/>
      <c r="E142" s="474"/>
      <c r="F142" s="474"/>
      <c r="G142" s="474"/>
      <c r="H142" s="474"/>
      <c r="I142" s="474"/>
      <c r="J142" s="474"/>
      <c r="K142" s="474"/>
      <c r="L142" s="474"/>
      <c r="M142" s="474"/>
      <c r="N142" s="474"/>
      <c r="O142" s="474"/>
      <c r="P142" s="474"/>
    </row>
    <row r="143" spans="1:16">
      <c r="A143" s="474"/>
      <c r="B143" s="474"/>
      <c r="C143" s="474"/>
      <c r="D143" s="474"/>
      <c r="E143" s="474"/>
      <c r="F143" s="474"/>
      <c r="G143" s="474"/>
      <c r="H143" s="474"/>
      <c r="I143" s="474"/>
      <c r="J143" s="474"/>
      <c r="K143" s="474"/>
      <c r="L143" s="474"/>
      <c r="M143" s="474"/>
      <c r="N143" s="474"/>
      <c r="O143" s="474"/>
      <c r="P143" s="474"/>
    </row>
    <row r="144" spans="1:16">
      <c r="A144" s="474"/>
      <c r="B144" s="474"/>
      <c r="C144" s="474"/>
      <c r="D144" s="474"/>
      <c r="E144" s="474"/>
      <c r="F144" s="474"/>
      <c r="G144" s="474"/>
      <c r="H144" s="474"/>
      <c r="I144" s="474"/>
      <c r="J144" s="474"/>
      <c r="K144" s="474"/>
      <c r="L144" s="474"/>
      <c r="M144" s="474"/>
      <c r="N144" s="474"/>
      <c r="O144" s="474"/>
      <c r="P144" s="474"/>
    </row>
    <row r="145" spans="1:16">
      <c r="A145" s="474"/>
      <c r="B145" s="474"/>
      <c r="C145" s="474"/>
      <c r="D145" s="474"/>
      <c r="E145" s="474"/>
      <c r="F145" s="474"/>
      <c r="G145" s="474"/>
      <c r="H145" s="474"/>
      <c r="I145" s="474"/>
      <c r="J145" s="474"/>
      <c r="K145" s="474"/>
      <c r="L145" s="474"/>
      <c r="M145" s="474"/>
      <c r="N145" s="474"/>
      <c r="O145" s="474"/>
      <c r="P145" s="474"/>
    </row>
    <row r="146" spans="1:16">
      <c r="A146" s="474"/>
      <c r="B146" s="474"/>
      <c r="C146" s="474"/>
      <c r="D146" s="474"/>
      <c r="E146" s="474"/>
      <c r="F146" s="474"/>
      <c r="G146" s="474"/>
      <c r="H146" s="474"/>
      <c r="I146" s="474"/>
      <c r="J146" s="474"/>
      <c r="K146" s="474"/>
      <c r="L146" s="474"/>
      <c r="M146" s="474"/>
      <c r="N146" s="474"/>
      <c r="O146" s="474"/>
      <c r="P146" s="474"/>
    </row>
    <row r="147" spans="1:16">
      <c r="A147" s="474"/>
      <c r="B147" s="474"/>
      <c r="C147" s="474"/>
      <c r="D147" s="474"/>
      <c r="E147" s="474"/>
      <c r="F147" s="474"/>
      <c r="G147" s="474"/>
      <c r="H147" s="474"/>
      <c r="I147" s="474"/>
      <c r="J147" s="474"/>
      <c r="K147" s="474"/>
      <c r="L147" s="474"/>
      <c r="M147" s="474"/>
      <c r="N147" s="474"/>
      <c r="O147" s="474"/>
      <c r="P147" s="474"/>
    </row>
    <row r="148" spans="1:16">
      <c r="A148" s="474"/>
      <c r="B148" s="474"/>
      <c r="C148" s="474"/>
      <c r="D148" s="474"/>
      <c r="E148" s="474"/>
      <c r="F148" s="474"/>
      <c r="G148" s="474"/>
      <c r="H148" s="474"/>
      <c r="I148" s="474"/>
      <c r="J148" s="474"/>
      <c r="K148" s="474"/>
      <c r="L148" s="474"/>
      <c r="M148" s="474"/>
      <c r="N148" s="474"/>
      <c r="O148" s="474"/>
      <c r="P148" s="474"/>
    </row>
    <row r="149" spans="1:16">
      <c r="A149" s="474"/>
      <c r="B149" s="474"/>
      <c r="C149" s="474"/>
      <c r="D149" s="474"/>
      <c r="E149" s="474"/>
      <c r="F149" s="474"/>
      <c r="G149" s="474"/>
      <c r="H149" s="474"/>
      <c r="I149" s="474"/>
      <c r="J149" s="474"/>
      <c r="K149" s="474"/>
      <c r="L149" s="474"/>
      <c r="M149" s="474"/>
      <c r="N149" s="474"/>
      <c r="O149" s="474"/>
      <c r="P149" s="474"/>
    </row>
    <row r="150" spans="1:16">
      <c r="A150" s="474"/>
      <c r="B150" s="474"/>
      <c r="C150" s="474"/>
      <c r="D150" s="474"/>
      <c r="E150" s="474"/>
      <c r="F150" s="474"/>
      <c r="G150" s="474"/>
      <c r="H150" s="474"/>
      <c r="I150" s="474"/>
      <c r="J150" s="474"/>
      <c r="K150" s="474"/>
      <c r="L150" s="474"/>
      <c r="M150" s="474"/>
      <c r="N150" s="474"/>
      <c r="O150" s="474"/>
      <c r="P150" s="474"/>
    </row>
    <row r="151" spans="1:16">
      <c r="A151" s="474"/>
      <c r="B151" s="474"/>
      <c r="C151" s="474"/>
      <c r="D151" s="474"/>
      <c r="E151" s="474"/>
      <c r="F151" s="474"/>
      <c r="G151" s="474"/>
      <c r="H151" s="474"/>
      <c r="I151" s="474"/>
      <c r="J151" s="474"/>
      <c r="K151" s="474"/>
      <c r="L151" s="474"/>
      <c r="M151" s="474"/>
      <c r="N151" s="474"/>
      <c r="O151" s="474"/>
      <c r="P151" s="474"/>
    </row>
    <row r="152" spans="1:16">
      <c r="A152" s="474"/>
      <c r="B152" s="474"/>
      <c r="C152" s="474"/>
      <c r="D152" s="474"/>
      <c r="E152" s="474"/>
      <c r="F152" s="474"/>
      <c r="G152" s="474"/>
      <c r="H152" s="474"/>
      <c r="I152" s="474"/>
      <c r="J152" s="474"/>
      <c r="K152" s="474"/>
      <c r="L152" s="474"/>
      <c r="M152" s="474"/>
      <c r="N152" s="474"/>
      <c r="O152" s="474"/>
      <c r="P152" s="474"/>
    </row>
    <row r="153" spans="1:16">
      <c r="A153" s="474"/>
      <c r="B153" s="474"/>
      <c r="C153" s="474"/>
      <c r="D153" s="474"/>
      <c r="E153" s="474"/>
      <c r="F153" s="474"/>
      <c r="G153" s="474"/>
      <c r="H153" s="474"/>
      <c r="I153" s="474"/>
      <c r="J153" s="474"/>
      <c r="K153" s="474"/>
      <c r="L153" s="474"/>
      <c r="M153" s="474"/>
      <c r="N153" s="474"/>
      <c r="O153" s="474"/>
      <c r="P153" s="474"/>
    </row>
    <row r="154" spans="1:16">
      <c r="A154" s="474"/>
      <c r="B154" s="474"/>
      <c r="C154" s="474"/>
      <c r="D154" s="474"/>
      <c r="E154" s="474"/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  <c r="P154" s="474"/>
    </row>
    <row r="155" spans="1:16">
      <c r="A155" s="474"/>
      <c r="B155" s="474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  <c r="O155" s="474"/>
      <c r="P155" s="474"/>
    </row>
    <row r="156" spans="1:16">
      <c r="A156" s="474"/>
      <c r="B156" s="474"/>
      <c r="C156" s="474"/>
      <c r="D156" s="474"/>
      <c r="E156" s="474"/>
      <c r="F156" s="474"/>
      <c r="G156" s="474"/>
      <c r="H156" s="474"/>
      <c r="I156" s="474"/>
      <c r="J156" s="474"/>
      <c r="K156" s="474"/>
      <c r="L156" s="474"/>
      <c r="M156" s="474"/>
      <c r="N156" s="474"/>
      <c r="O156" s="474"/>
      <c r="P156" s="474"/>
    </row>
    <row r="157" spans="1:16">
      <c r="A157" s="474"/>
      <c r="B157" s="474"/>
      <c r="C157" s="474"/>
      <c r="D157" s="474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474"/>
      <c r="P157" s="474"/>
    </row>
    <row r="158" spans="1:16">
      <c r="A158" s="474"/>
      <c r="B158" s="474"/>
      <c r="C158" s="474"/>
      <c r="D158" s="474"/>
      <c r="E158" s="474"/>
      <c r="F158" s="474"/>
      <c r="G158" s="474"/>
      <c r="H158" s="474"/>
      <c r="I158" s="474"/>
      <c r="J158" s="474"/>
      <c r="K158" s="474"/>
      <c r="L158" s="474"/>
      <c r="M158" s="474"/>
      <c r="N158" s="474"/>
      <c r="O158" s="474"/>
      <c r="P158" s="474"/>
    </row>
    <row r="159" spans="1:16">
      <c r="A159" s="474"/>
      <c r="B159" s="474"/>
      <c r="C159" s="474"/>
      <c r="D159" s="474"/>
      <c r="E159" s="474"/>
      <c r="F159" s="474"/>
      <c r="G159" s="474"/>
      <c r="H159" s="474"/>
      <c r="I159" s="474"/>
      <c r="J159" s="474"/>
      <c r="K159" s="474"/>
      <c r="L159" s="474"/>
      <c r="M159" s="474"/>
      <c r="N159" s="474"/>
      <c r="O159" s="474"/>
      <c r="P159" s="474"/>
    </row>
    <row r="160" spans="1:16">
      <c r="A160" s="474"/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  <c r="L160" s="474"/>
      <c r="M160" s="474"/>
      <c r="N160" s="474"/>
      <c r="O160" s="474"/>
      <c r="P160" s="474"/>
    </row>
    <row r="161" spans="1:16">
      <c r="A161" s="474"/>
      <c r="B161" s="474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474"/>
      <c r="P161" s="474"/>
    </row>
    <row r="162" spans="1:16">
      <c r="A162" s="474"/>
      <c r="B162" s="474"/>
      <c r="C162" s="474"/>
      <c r="D162" s="474"/>
      <c r="E162" s="474"/>
      <c r="F162" s="474"/>
      <c r="G162" s="474"/>
      <c r="H162" s="474"/>
      <c r="I162" s="474"/>
      <c r="J162" s="474"/>
      <c r="K162" s="474"/>
      <c r="L162" s="474"/>
      <c r="M162" s="474"/>
      <c r="N162" s="474"/>
      <c r="O162" s="474"/>
      <c r="P162" s="474"/>
    </row>
    <row r="163" spans="1:16">
      <c r="A163" s="474"/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  <c r="P163" s="474"/>
    </row>
    <row r="164" spans="1:16">
      <c r="A164" s="474"/>
      <c r="B164" s="474"/>
      <c r="C164" s="474"/>
      <c r="D164" s="474"/>
      <c r="E164" s="474"/>
      <c r="F164" s="474"/>
      <c r="G164" s="474"/>
      <c r="H164" s="474"/>
      <c r="I164" s="474"/>
      <c r="J164" s="474"/>
      <c r="K164" s="474"/>
      <c r="L164" s="474"/>
      <c r="M164" s="474"/>
      <c r="N164" s="474"/>
      <c r="O164" s="474"/>
      <c r="P164" s="474"/>
    </row>
    <row r="165" spans="1:16">
      <c r="A165" s="474"/>
      <c r="B165" s="474"/>
      <c r="C165" s="474"/>
      <c r="D165" s="474"/>
      <c r="E165" s="474"/>
      <c r="F165" s="474"/>
      <c r="G165" s="474"/>
      <c r="H165" s="474"/>
      <c r="I165" s="474"/>
      <c r="J165" s="474"/>
      <c r="K165" s="474"/>
      <c r="L165" s="474"/>
      <c r="M165" s="474"/>
      <c r="N165" s="474"/>
      <c r="O165" s="474"/>
      <c r="P165" s="474"/>
    </row>
    <row r="166" spans="1:16">
      <c r="A166" s="474"/>
      <c r="B166" s="474"/>
      <c r="C166" s="474"/>
      <c r="D166" s="474"/>
      <c r="E166" s="474"/>
      <c r="F166" s="474"/>
      <c r="G166" s="474"/>
      <c r="H166" s="474"/>
      <c r="I166" s="474"/>
      <c r="J166" s="474"/>
      <c r="K166" s="474"/>
      <c r="L166" s="474"/>
      <c r="M166" s="474"/>
      <c r="N166" s="474"/>
      <c r="O166" s="474"/>
      <c r="P166" s="474"/>
    </row>
    <row r="167" spans="1:16">
      <c r="A167" s="474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  <c r="N167" s="474"/>
      <c r="O167" s="474"/>
      <c r="P167" s="474"/>
    </row>
    <row r="168" spans="1:16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  <c r="N168" s="474"/>
      <c r="O168" s="474"/>
      <c r="P168" s="474"/>
    </row>
    <row r="169" spans="1:16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  <c r="N169" s="474"/>
      <c r="O169" s="474"/>
      <c r="P169" s="474"/>
    </row>
    <row r="170" spans="1:16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  <c r="N170" s="474"/>
      <c r="O170" s="474"/>
      <c r="P170" s="474"/>
    </row>
    <row r="171" spans="1:16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  <c r="N171" s="474"/>
      <c r="O171" s="474"/>
      <c r="P171" s="474"/>
    </row>
    <row r="172" spans="1:16">
      <c r="A172" s="474"/>
      <c r="B172" s="474"/>
      <c r="C172" s="474"/>
      <c r="D172" s="474"/>
      <c r="E172" s="474"/>
      <c r="F172" s="474"/>
      <c r="G172" s="474"/>
      <c r="H172" s="474"/>
      <c r="I172" s="474"/>
      <c r="J172" s="474"/>
      <c r="K172" s="474"/>
      <c r="L172" s="474"/>
      <c r="M172" s="474"/>
      <c r="N172" s="474"/>
      <c r="O172" s="474"/>
      <c r="P172" s="474"/>
    </row>
    <row r="173" spans="1:16">
      <c r="A173" s="474"/>
      <c r="B173" s="474"/>
      <c r="C173" s="474"/>
      <c r="D173" s="474"/>
      <c r="E173" s="474"/>
      <c r="F173" s="474"/>
      <c r="G173" s="474"/>
      <c r="H173" s="474"/>
      <c r="I173" s="474"/>
      <c r="J173" s="474"/>
      <c r="K173" s="474"/>
      <c r="L173" s="474"/>
      <c r="M173" s="474"/>
      <c r="N173" s="474"/>
      <c r="O173" s="474"/>
      <c r="P173" s="474"/>
    </row>
    <row r="174" spans="1:16">
      <c r="A174" s="474"/>
      <c r="B174" s="474"/>
      <c r="C174" s="474"/>
      <c r="D174" s="474"/>
      <c r="E174" s="474"/>
      <c r="F174" s="474"/>
      <c r="G174" s="474"/>
      <c r="H174" s="474"/>
      <c r="I174" s="474"/>
      <c r="J174" s="474"/>
      <c r="K174" s="474"/>
      <c r="L174" s="474"/>
      <c r="M174" s="474"/>
      <c r="N174" s="474"/>
      <c r="O174" s="474"/>
      <c r="P174" s="474"/>
    </row>
    <row r="175" spans="1:16">
      <c r="A175" s="474"/>
      <c r="B175" s="474"/>
      <c r="C175" s="474"/>
      <c r="D175" s="474"/>
      <c r="E175" s="474"/>
      <c r="F175" s="474"/>
      <c r="G175" s="474"/>
      <c r="H175" s="474"/>
      <c r="I175" s="474"/>
      <c r="J175" s="474"/>
      <c r="K175" s="474"/>
      <c r="L175" s="474"/>
      <c r="M175" s="474"/>
      <c r="N175" s="474"/>
      <c r="O175" s="474"/>
      <c r="P175" s="474"/>
    </row>
    <row r="176" spans="1:16">
      <c r="A176" s="474"/>
      <c r="B176" s="474"/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474"/>
      <c r="O176" s="474"/>
      <c r="P176" s="474"/>
    </row>
    <row r="177" spans="1:16">
      <c r="A177" s="474"/>
      <c r="B177" s="474"/>
      <c r="C177" s="474"/>
      <c r="D177" s="474"/>
      <c r="E177" s="474"/>
      <c r="F177" s="474"/>
      <c r="G177" s="474"/>
      <c r="H177" s="474"/>
      <c r="I177" s="474"/>
      <c r="J177" s="474"/>
      <c r="K177" s="474"/>
      <c r="L177" s="474"/>
      <c r="M177" s="474"/>
      <c r="N177" s="474"/>
      <c r="O177" s="474"/>
      <c r="P177" s="474"/>
    </row>
    <row r="178" spans="1:16">
      <c r="A178" s="474"/>
      <c r="B178" s="474"/>
      <c r="C178" s="474"/>
      <c r="D178" s="474"/>
      <c r="E178" s="474"/>
      <c r="F178" s="474"/>
      <c r="G178" s="474"/>
      <c r="H178" s="474"/>
      <c r="I178" s="474"/>
      <c r="J178" s="474"/>
      <c r="K178" s="474"/>
      <c r="L178" s="474"/>
      <c r="M178" s="474"/>
      <c r="N178" s="474"/>
      <c r="O178" s="474"/>
      <c r="P178" s="474"/>
    </row>
    <row r="179" spans="1:16">
      <c r="A179" s="474"/>
      <c r="B179" s="474"/>
      <c r="C179" s="474"/>
      <c r="D179" s="474"/>
      <c r="E179" s="474"/>
      <c r="F179" s="474"/>
      <c r="G179" s="474"/>
      <c r="H179" s="474"/>
      <c r="I179" s="474"/>
      <c r="J179" s="474"/>
      <c r="K179" s="474"/>
      <c r="L179" s="474"/>
      <c r="M179" s="474"/>
      <c r="N179" s="474"/>
      <c r="O179" s="474"/>
      <c r="P179" s="474"/>
    </row>
    <row r="180" spans="1:16">
      <c r="A180" s="474"/>
      <c r="B180" s="474"/>
      <c r="C180" s="474"/>
      <c r="D180" s="474"/>
      <c r="E180" s="474"/>
      <c r="F180" s="474"/>
      <c r="G180" s="474"/>
      <c r="H180" s="474"/>
      <c r="I180" s="474"/>
      <c r="J180" s="474"/>
      <c r="K180" s="474"/>
      <c r="L180" s="474"/>
      <c r="M180" s="474"/>
      <c r="N180" s="474"/>
      <c r="O180" s="474"/>
      <c r="P180" s="474"/>
    </row>
    <row r="181" spans="1:16">
      <c r="A181" s="474"/>
      <c r="B181" s="474"/>
      <c r="C181" s="474"/>
      <c r="D181" s="474"/>
      <c r="E181" s="474"/>
      <c r="F181" s="474"/>
      <c r="G181" s="474"/>
      <c r="H181" s="474"/>
      <c r="I181" s="474"/>
      <c r="J181" s="474"/>
      <c r="K181" s="474"/>
      <c r="L181" s="474"/>
      <c r="M181" s="474"/>
      <c r="N181" s="474"/>
      <c r="O181" s="474"/>
      <c r="P181" s="474"/>
    </row>
    <row r="182" spans="1:16">
      <c r="A182" s="474"/>
      <c r="B182" s="474"/>
      <c r="C182" s="474"/>
      <c r="D182" s="474"/>
      <c r="E182" s="474"/>
      <c r="F182" s="474"/>
      <c r="G182" s="474"/>
      <c r="H182" s="474"/>
      <c r="I182" s="474"/>
      <c r="J182" s="474"/>
      <c r="K182" s="474"/>
      <c r="L182" s="474"/>
      <c r="M182" s="474"/>
      <c r="N182" s="474"/>
      <c r="O182" s="474"/>
      <c r="P182" s="474"/>
    </row>
    <row r="183" spans="1:16">
      <c r="A183" s="474"/>
      <c r="B183" s="474"/>
      <c r="C183" s="474"/>
      <c r="D183" s="474"/>
      <c r="E183" s="474"/>
      <c r="F183" s="474"/>
      <c r="G183" s="474"/>
      <c r="H183" s="474"/>
      <c r="I183" s="474"/>
      <c r="J183" s="474"/>
      <c r="K183" s="474"/>
      <c r="L183" s="474"/>
      <c r="M183" s="474"/>
      <c r="N183" s="474"/>
      <c r="O183" s="474"/>
      <c r="P183" s="474"/>
    </row>
    <row r="184" spans="1:16">
      <c r="A184" s="474"/>
      <c r="B184" s="474"/>
      <c r="C184" s="474"/>
      <c r="D184" s="474"/>
      <c r="E184" s="474"/>
      <c r="F184" s="474"/>
      <c r="G184" s="474"/>
      <c r="H184" s="474"/>
      <c r="I184" s="474"/>
      <c r="J184" s="474"/>
      <c r="K184" s="474"/>
      <c r="L184" s="474"/>
      <c r="M184" s="474"/>
      <c r="N184" s="474"/>
      <c r="O184" s="474"/>
      <c r="P184" s="474"/>
    </row>
    <row r="185" spans="1:16">
      <c r="A185" s="474"/>
      <c r="B185" s="474"/>
      <c r="C185" s="474"/>
      <c r="D185" s="474"/>
      <c r="E185" s="474"/>
      <c r="F185" s="474"/>
      <c r="G185" s="474"/>
      <c r="H185" s="474"/>
      <c r="I185" s="474"/>
      <c r="J185" s="474"/>
      <c r="K185" s="474"/>
      <c r="L185" s="474"/>
      <c r="M185" s="474"/>
      <c r="N185" s="474"/>
      <c r="O185" s="474"/>
      <c r="P185" s="474"/>
    </row>
    <row r="186" spans="1:16">
      <c r="A186" s="474"/>
      <c r="B186" s="474"/>
      <c r="C186" s="474"/>
      <c r="D186" s="474"/>
      <c r="E186" s="474"/>
      <c r="F186" s="474"/>
      <c r="G186" s="474"/>
      <c r="H186" s="474"/>
      <c r="I186" s="474"/>
      <c r="J186" s="474"/>
      <c r="K186" s="474"/>
      <c r="L186" s="474"/>
      <c r="M186" s="474"/>
      <c r="N186" s="474"/>
      <c r="O186" s="474"/>
      <c r="P186" s="474"/>
    </row>
    <row r="187" spans="1:16">
      <c r="A187" s="474"/>
      <c r="B187" s="474"/>
      <c r="C187" s="474"/>
      <c r="D187" s="474"/>
      <c r="E187" s="474"/>
      <c r="F187" s="474"/>
      <c r="G187" s="474"/>
      <c r="H187" s="474"/>
      <c r="I187" s="474"/>
      <c r="J187" s="474"/>
      <c r="K187" s="474"/>
      <c r="L187" s="474"/>
      <c r="M187" s="474"/>
      <c r="N187" s="474"/>
      <c r="O187" s="474"/>
      <c r="P187" s="474"/>
    </row>
    <row r="188" spans="1:16">
      <c r="A188" s="474"/>
      <c r="B188" s="474"/>
      <c r="C188" s="474"/>
      <c r="D188" s="474"/>
      <c r="E188" s="474"/>
      <c r="F188" s="474"/>
      <c r="G188" s="474"/>
      <c r="H188" s="474"/>
      <c r="I188" s="474"/>
      <c r="J188" s="474"/>
      <c r="K188" s="474"/>
      <c r="L188" s="474"/>
      <c r="M188" s="474"/>
      <c r="N188" s="474"/>
      <c r="O188" s="474"/>
      <c r="P188" s="474"/>
    </row>
    <row r="189" spans="1:16">
      <c r="A189" s="474"/>
      <c r="B189" s="474"/>
      <c r="C189" s="474"/>
      <c r="D189" s="474"/>
      <c r="E189" s="474"/>
      <c r="F189" s="474"/>
      <c r="G189" s="474"/>
      <c r="H189" s="474"/>
      <c r="I189" s="474"/>
      <c r="J189" s="474"/>
      <c r="K189" s="474"/>
      <c r="L189" s="474"/>
      <c r="M189" s="474"/>
      <c r="N189" s="474"/>
      <c r="O189" s="474"/>
      <c r="P189" s="474"/>
    </row>
    <row r="190" spans="1:16">
      <c r="A190" s="474"/>
      <c r="B190" s="474"/>
      <c r="C190" s="474"/>
      <c r="D190" s="474"/>
      <c r="E190" s="474"/>
      <c r="F190" s="474"/>
      <c r="G190" s="474"/>
      <c r="H190" s="474"/>
      <c r="I190" s="474"/>
      <c r="J190" s="474"/>
      <c r="K190" s="474"/>
      <c r="L190" s="474"/>
      <c r="M190" s="474"/>
      <c r="N190" s="474"/>
      <c r="O190" s="474"/>
      <c r="P190" s="474"/>
    </row>
    <row r="191" spans="1:16">
      <c r="A191" s="474"/>
      <c r="B191" s="474"/>
      <c r="C191" s="474"/>
      <c r="D191" s="474"/>
      <c r="E191" s="474"/>
      <c r="F191" s="474"/>
      <c r="G191" s="474"/>
      <c r="H191" s="474"/>
      <c r="I191" s="474"/>
      <c r="J191" s="474"/>
      <c r="K191" s="474"/>
      <c r="L191" s="474"/>
      <c r="M191" s="474"/>
      <c r="N191" s="474"/>
      <c r="O191" s="474"/>
      <c r="P191" s="474"/>
    </row>
    <row r="192" spans="1:16">
      <c r="A192" s="474"/>
      <c r="B192" s="474"/>
      <c r="C192" s="474"/>
      <c r="D192" s="474"/>
      <c r="E192" s="474"/>
      <c r="F192" s="474"/>
      <c r="G192" s="474"/>
      <c r="H192" s="474"/>
      <c r="I192" s="474"/>
      <c r="J192" s="474"/>
      <c r="K192" s="474"/>
      <c r="L192" s="474"/>
      <c r="M192" s="474"/>
      <c r="N192" s="474"/>
      <c r="O192" s="474"/>
      <c r="P192" s="474"/>
    </row>
    <row r="193" spans="1:16">
      <c r="A193" s="474"/>
      <c r="B193" s="474"/>
      <c r="C193" s="474"/>
      <c r="D193" s="474"/>
      <c r="E193" s="474"/>
      <c r="F193" s="474"/>
      <c r="G193" s="474"/>
      <c r="H193" s="474"/>
      <c r="I193" s="474"/>
      <c r="J193" s="474"/>
      <c r="K193" s="474"/>
      <c r="L193" s="474"/>
      <c r="M193" s="474"/>
      <c r="N193" s="474"/>
      <c r="O193" s="474"/>
      <c r="P193" s="474"/>
    </row>
    <row r="194" spans="1:16">
      <c r="A194" s="474"/>
      <c r="B194" s="474"/>
      <c r="C194" s="474"/>
      <c r="D194" s="474"/>
      <c r="E194" s="474"/>
      <c r="F194" s="474"/>
      <c r="G194" s="474"/>
      <c r="H194" s="474"/>
      <c r="I194" s="474"/>
      <c r="J194" s="474"/>
      <c r="K194" s="474"/>
      <c r="L194" s="474"/>
      <c r="M194" s="474"/>
      <c r="N194" s="474"/>
      <c r="O194" s="474"/>
      <c r="P194" s="474"/>
    </row>
    <row r="195" spans="1:16">
      <c r="A195" s="474"/>
      <c r="B195" s="474"/>
      <c r="C195" s="474"/>
      <c r="D195" s="474"/>
      <c r="E195" s="474"/>
      <c r="F195" s="474"/>
      <c r="G195" s="474"/>
      <c r="H195" s="474"/>
      <c r="I195" s="474"/>
      <c r="J195" s="474"/>
      <c r="K195" s="474"/>
      <c r="L195" s="474"/>
      <c r="M195" s="474"/>
      <c r="N195" s="474"/>
      <c r="O195" s="474"/>
      <c r="P195" s="474"/>
    </row>
    <row r="196" spans="1:16">
      <c r="A196" s="474"/>
      <c r="B196" s="474"/>
      <c r="C196" s="474"/>
      <c r="D196" s="474"/>
      <c r="E196" s="474"/>
      <c r="F196" s="474"/>
      <c r="G196" s="474"/>
      <c r="H196" s="474"/>
      <c r="I196" s="474"/>
      <c r="J196" s="474"/>
      <c r="K196" s="474"/>
      <c r="L196" s="474"/>
      <c r="M196" s="474"/>
      <c r="N196" s="474"/>
      <c r="O196" s="474"/>
      <c r="P196" s="474"/>
    </row>
    <row r="197" spans="1:16">
      <c r="A197" s="474"/>
      <c r="B197" s="474"/>
      <c r="C197" s="474"/>
      <c r="D197" s="474"/>
      <c r="E197" s="474"/>
      <c r="F197" s="474"/>
      <c r="G197" s="474"/>
      <c r="H197" s="474"/>
      <c r="I197" s="474"/>
      <c r="J197" s="474"/>
      <c r="K197" s="474"/>
      <c r="L197" s="474"/>
      <c r="M197" s="474"/>
      <c r="N197" s="474"/>
      <c r="O197" s="474"/>
      <c r="P197" s="474"/>
    </row>
    <row r="198" spans="1:16">
      <c r="A198" s="474"/>
      <c r="B198" s="474"/>
      <c r="C198" s="474"/>
      <c r="D198" s="474"/>
      <c r="E198" s="474"/>
      <c r="F198" s="474"/>
      <c r="G198" s="474"/>
      <c r="H198" s="474"/>
      <c r="I198" s="474"/>
      <c r="J198" s="474"/>
      <c r="K198" s="474"/>
      <c r="L198" s="474"/>
      <c r="M198" s="474"/>
      <c r="N198" s="474"/>
      <c r="O198" s="474"/>
      <c r="P198" s="474"/>
    </row>
    <row r="199" spans="1:16">
      <c r="A199" s="474"/>
      <c r="B199" s="474"/>
      <c r="C199" s="474"/>
      <c r="D199" s="474"/>
      <c r="E199" s="474"/>
      <c r="F199" s="474"/>
      <c r="G199" s="474"/>
      <c r="H199" s="474"/>
      <c r="I199" s="474"/>
      <c r="J199" s="474"/>
      <c r="K199" s="474"/>
      <c r="L199" s="474"/>
      <c r="M199" s="474"/>
      <c r="N199" s="474"/>
      <c r="O199" s="474"/>
      <c r="P199" s="474"/>
    </row>
    <row r="200" spans="1:16">
      <c r="A200" s="474"/>
      <c r="B200" s="474"/>
      <c r="C200" s="474"/>
      <c r="D200" s="474"/>
      <c r="E200" s="474"/>
      <c r="F200" s="474"/>
      <c r="G200" s="474"/>
      <c r="H200" s="474"/>
      <c r="I200" s="474"/>
      <c r="J200" s="474"/>
      <c r="K200" s="474"/>
      <c r="L200" s="474"/>
      <c r="M200" s="474"/>
      <c r="N200" s="474"/>
      <c r="O200" s="474"/>
      <c r="P200" s="474"/>
    </row>
    <row r="201" spans="1:16">
      <c r="A201" s="474"/>
      <c r="B201" s="474"/>
      <c r="C201" s="474"/>
      <c r="D201" s="474"/>
      <c r="E201" s="474"/>
      <c r="F201" s="474"/>
      <c r="G201" s="474"/>
      <c r="H201" s="474"/>
      <c r="I201" s="474"/>
      <c r="J201" s="474"/>
      <c r="K201" s="474"/>
      <c r="L201" s="474"/>
      <c r="M201" s="474"/>
      <c r="N201" s="474"/>
      <c r="O201" s="474"/>
      <c r="P201" s="474"/>
    </row>
    <row r="202" spans="1:16">
      <c r="A202" s="474"/>
      <c r="B202" s="474"/>
      <c r="C202" s="474"/>
      <c r="D202" s="474"/>
      <c r="E202" s="474"/>
      <c r="F202" s="474"/>
      <c r="G202" s="474"/>
      <c r="H202" s="474"/>
      <c r="I202" s="474"/>
      <c r="J202" s="474"/>
      <c r="K202" s="474"/>
      <c r="L202" s="474"/>
      <c r="M202" s="474"/>
      <c r="N202" s="474"/>
      <c r="O202" s="474"/>
      <c r="P202" s="474"/>
    </row>
    <row r="203" spans="1:16">
      <c r="A203" s="474"/>
      <c r="B203" s="474"/>
      <c r="C203" s="474"/>
      <c r="D203" s="474"/>
      <c r="E203" s="474"/>
      <c r="F203" s="474"/>
      <c r="G203" s="474"/>
      <c r="H203" s="474"/>
      <c r="I203" s="474"/>
      <c r="J203" s="474"/>
      <c r="K203" s="474"/>
      <c r="L203" s="474"/>
      <c r="M203" s="474"/>
      <c r="N203" s="474"/>
      <c r="O203" s="474"/>
      <c r="P203" s="474"/>
    </row>
    <row r="204" spans="1:16">
      <c r="A204" s="474"/>
      <c r="B204" s="474"/>
      <c r="C204" s="474"/>
      <c r="D204" s="474"/>
      <c r="E204" s="474"/>
      <c r="F204" s="474"/>
      <c r="G204" s="474"/>
      <c r="H204" s="474"/>
      <c r="I204" s="474"/>
      <c r="J204" s="474"/>
      <c r="K204" s="474"/>
      <c r="L204" s="474"/>
      <c r="M204" s="474"/>
      <c r="N204" s="474"/>
      <c r="O204" s="474"/>
      <c r="P204" s="474"/>
    </row>
    <row r="205" spans="1:16">
      <c r="A205" s="474"/>
      <c r="B205" s="474"/>
      <c r="C205" s="474"/>
      <c r="D205" s="474"/>
      <c r="E205" s="474"/>
      <c r="F205" s="474"/>
      <c r="G205" s="474"/>
      <c r="H205" s="474"/>
      <c r="I205" s="474"/>
      <c r="J205" s="474"/>
      <c r="K205" s="474"/>
      <c r="L205" s="474"/>
      <c r="M205" s="474"/>
      <c r="N205" s="474"/>
      <c r="O205" s="474"/>
      <c r="P205" s="474"/>
    </row>
    <row r="206" spans="1:16">
      <c r="A206" s="474"/>
      <c r="B206" s="474"/>
      <c r="C206" s="474"/>
      <c r="D206" s="474"/>
      <c r="E206" s="474"/>
      <c r="F206" s="474"/>
      <c r="G206" s="474"/>
      <c r="H206" s="474"/>
      <c r="I206" s="474"/>
      <c r="J206" s="474"/>
      <c r="K206" s="474"/>
      <c r="L206" s="474"/>
      <c r="M206" s="474"/>
      <c r="N206" s="474"/>
      <c r="O206" s="474"/>
      <c r="P206" s="474"/>
    </row>
    <row r="207" spans="1:16">
      <c r="A207" s="474"/>
      <c r="B207" s="474"/>
      <c r="C207" s="474"/>
      <c r="D207" s="474"/>
      <c r="E207" s="474"/>
      <c r="F207" s="474"/>
      <c r="G207" s="474"/>
      <c r="H207" s="474"/>
      <c r="I207" s="474"/>
      <c r="J207" s="474"/>
      <c r="K207" s="474"/>
      <c r="L207" s="474"/>
      <c r="M207" s="474"/>
      <c r="N207" s="474"/>
      <c r="O207" s="474"/>
      <c r="P207" s="474"/>
    </row>
    <row r="208" spans="1:16">
      <c r="A208" s="474"/>
      <c r="B208" s="474"/>
      <c r="C208" s="474"/>
      <c r="D208" s="474"/>
      <c r="E208" s="474"/>
      <c r="F208" s="474"/>
      <c r="G208" s="474"/>
      <c r="H208" s="474"/>
      <c r="I208" s="474"/>
      <c r="J208" s="474"/>
      <c r="K208" s="474"/>
      <c r="L208" s="474"/>
      <c r="M208" s="474"/>
      <c r="N208" s="474"/>
      <c r="O208" s="474"/>
      <c r="P208" s="474"/>
    </row>
    <row r="209" spans="1:16">
      <c r="A209" s="474"/>
      <c r="B209" s="474"/>
      <c r="C209" s="474"/>
      <c r="D209" s="474"/>
      <c r="E209" s="474"/>
      <c r="F209" s="474"/>
      <c r="G209" s="474"/>
      <c r="H209" s="474"/>
      <c r="I209" s="474"/>
      <c r="J209" s="474"/>
      <c r="K209" s="474"/>
      <c r="L209" s="474"/>
      <c r="M209" s="474"/>
      <c r="N209" s="474"/>
      <c r="O209" s="474"/>
      <c r="P209" s="474"/>
    </row>
    <row r="210" spans="1:16">
      <c r="A210" s="474"/>
      <c r="B210" s="474"/>
      <c r="C210" s="474"/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N210" s="474"/>
      <c r="O210" s="474"/>
      <c r="P210" s="474"/>
    </row>
    <row r="211" spans="1:16">
      <c r="A211" s="474"/>
      <c r="B211" s="474"/>
      <c r="C211" s="474"/>
      <c r="D211" s="474"/>
      <c r="E211" s="474"/>
      <c r="F211" s="474"/>
      <c r="G211" s="474"/>
      <c r="H211" s="474"/>
      <c r="I211" s="474"/>
      <c r="J211" s="474"/>
      <c r="K211" s="474"/>
      <c r="L211" s="474"/>
      <c r="M211" s="474"/>
      <c r="N211" s="474"/>
      <c r="O211" s="474"/>
      <c r="P211" s="474"/>
    </row>
    <row r="212" spans="1:16">
      <c r="A212" s="474"/>
      <c r="B212" s="474"/>
      <c r="C212" s="474"/>
      <c r="D212" s="474"/>
      <c r="E212" s="474"/>
      <c r="F212" s="474"/>
      <c r="G212" s="474"/>
      <c r="H212" s="474"/>
      <c r="I212" s="474"/>
      <c r="J212" s="474"/>
      <c r="K212" s="474"/>
      <c r="L212" s="474"/>
      <c r="M212" s="474"/>
      <c r="N212" s="474"/>
      <c r="O212" s="474"/>
      <c r="P212" s="474"/>
    </row>
    <row r="213" spans="1:16">
      <c r="A213" s="474"/>
      <c r="B213" s="474"/>
      <c r="C213" s="474"/>
      <c r="D213" s="474"/>
      <c r="E213" s="474"/>
      <c r="F213" s="474"/>
      <c r="G213" s="474"/>
      <c r="H213" s="474"/>
      <c r="I213" s="474"/>
      <c r="J213" s="474"/>
      <c r="K213" s="474"/>
      <c r="L213" s="474"/>
      <c r="M213" s="474"/>
      <c r="N213" s="474"/>
      <c r="O213" s="474"/>
      <c r="P213" s="474"/>
    </row>
    <row r="214" spans="1:16">
      <c r="A214" s="474"/>
      <c r="B214" s="474"/>
      <c r="C214" s="474"/>
      <c r="D214" s="474"/>
      <c r="E214" s="474"/>
      <c r="F214" s="474"/>
      <c r="G214" s="474"/>
      <c r="H214" s="474"/>
      <c r="I214" s="474"/>
      <c r="J214" s="474"/>
      <c r="K214" s="474"/>
      <c r="L214" s="474"/>
      <c r="M214" s="474"/>
      <c r="N214" s="474"/>
      <c r="O214" s="474"/>
      <c r="P214" s="474"/>
    </row>
    <row r="215" spans="1:16">
      <c r="A215" s="474"/>
      <c r="B215" s="474"/>
      <c r="C215" s="474"/>
      <c r="D215" s="474"/>
      <c r="E215" s="474"/>
      <c r="F215" s="474"/>
      <c r="G215" s="474"/>
      <c r="H215" s="474"/>
      <c r="I215" s="474"/>
      <c r="J215" s="474"/>
      <c r="K215" s="474"/>
      <c r="L215" s="474"/>
      <c r="M215" s="474"/>
      <c r="N215" s="474"/>
      <c r="O215" s="474"/>
      <c r="P215" s="474"/>
    </row>
    <row r="216" spans="1:16">
      <c r="A216" s="474"/>
      <c r="B216" s="474"/>
      <c r="C216" s="474"/>
      <c r="D216" s="474"/>
      <c r="E216" s="474"/>
      <c r="F216" s="474"/>
      <c r="G216" s="474"/>
      <c r="H216" s="474"/>
      <c r="I216" s="474"/>
      <c r="J216" s="474"/>
      <c r="K216" s="474"/>
      <c r="L216" s="474"/>
      <c r="M216" s="474"/>
      <c r="N216" s="474"/>
      <c r="O216" s="474"/>
      <c r="P216" s="474"/>
    </row>
    <row r="217" spans="1:16">
      <c r="A217" s="474"/>
      <c r="B217" s="474"/>
      <c r="C217" s="474"/>
      <c r="D217" s="474"/>
      <c r="E217" s="474"/>
      <c r="F217" s="474"/>
      <c r="G217" s="474"/>
      <c r="H217" s="474"/>
      <c r="I217" s="474"/>
      <c r="J217" s="474"/>
      <c r="K217" s="474"/>
      <c r="L217" s="474"/>
      <c r="M217" s="474"/>
      <c r="N217" s="474"/>
      <c r="O217" s="474"/>
      <c r="P217" s="474"/>
    </row>
    <row r="218" spans="1:16">
      <c r="A218" s="474"/>
      <c r="B218" s="474"/>
      <c r="C218" s="474"/>
      <c r="D218" s="474"/>
      <c r="E218" s="474"/>
      <c r="F218" s="474"/>
      <c r="G218" s="474"/>
      <c r="H218" s="474"/>
      <c r="I218" s="474"/>
      <c r="J218" s="474"/>
      <c r="K218" s="474"/>
      <c r="L218" s="474"/>
      <c r="M218" s="474"/>
      <c r="N218" s="474"/>
      <c r="O218" s="474"/>
      <c r="P218" s="474"/>
    </row>
    <row r="219" spans="1:16">
      <c r="A219" s="474"/>
      <c r="B219" s="474"/>
      <c r="C219" s="474"/>
      <c r="D219" s="474"/>
      <c r="E219" s="474"/>
      <c r="F219" s="474"/>
      <c r="G219" s="474"/>
      <c r="H219" s="474"/>
      <c r="I219" s="474"/>
      <c r="J219" s="474"/>
      <c r="K219" s="474"/>
      <c r="L219" s="474"/>
      <c r="M219" s="474"/>
      <c r="N219" s="474"/>
      <c r="O219" s="474"/>
      <c r="P219" s="474"/>
    </row>
    <row r="220" spans="1:16">
      <c r="A220" s="474"/>
      <c r="B220" s="474"/>
      <c r="C220" s="474"/>
      <c r="D220" s="474"/>
      <c r="E220" s="474"/>
      <c r="F220" s="474"/>
      <c r="G220" s="474"/>
      <c r="H220" s="474"/>
      <c r="I220" s="474"/>
      <c r="J220" s="474"/>
      <c r="K220" s="474"/>
      <c r="L220" s="474"/>
      <c r="M220" s="474"/>
      <c r="N220" s="474"/>
      <c r="O220" s="474"/>
      <c r="P220" s="474"/>
    </row>
    <row r="221" spans="1:16">
      <c r="A221" s="474"/>
      <c r="B221" s="474"/>
      <c r="C221" s="474"/>
      <c r="D221" s="474"/>
      <c r="E221" s="474"/>
      <c r="F221" s="474"/>
      <c r="G221" s="474"/>
      <c r="H221" s="474"/>
      <c r="I221" s="474"/>
      <c r="J221" s="474"/>
      <c r="K221" s="474"/>
      <c r="L221" s="474"/>
      <c r="M221" s="474"/>
      <c r="N221" s="474"/>
      <c r="O221" s="474"/>
      <c r="P221" s="474"/>
    </row>
    <row r="222" spans="1:16">
      <c r="A222" s="474"/>
      <c r="B222" s="474"/>
      <c r="C222" s="474"/>
      <c r="D222" s="474"/>
      <c r="E222" s="474"/>
      <c r="F222" s="474"/>
      <c r="G222" s="474"/>
      <c r="H222" s="474"/>
      <c r="I222" s="474"/>
      <c r="J222" s="474"/>
      <c r="K222" s="474"/>
      <c r="L222" s="474"/>
      <c r="M222" s="474"/>
      <c r="N222" s="474"/>
      <c r="O222" s="474"/>
      <c r="P222" s="474"/>
    </row>
    <row r="223" spans="1:16">
      <c r="A223" s="474"/>
      <c r="B223" s="474"/>
      <c r="C223" s="474"/>
      <c r="D223" s="474"/>
      <c r="E223" s="474"/>
      <c r="F223" s="474"/>
      <c r="G223" s="474"/>
      <c r="H223" s="474"/>
      <c r="I223" s="474"/>
      <c r="J223" s="474"/>
      <c r="K223" s="474"/>
      <c r="L223" s="474"/>
      <c r="M223" s="474"/>
      <c r="N223" s="474"/>
      <c r="O223" s="474"/>
      <c r="P223" s="474"/>
    </row>
    <row r="224" spans="1:16">
      <c r="A224" s="474"/>
      <c r="B224" s="474"/>
      <c r="C224" s="474"/>
      <c r="D224" s="474"/>
      <c r="E224" s="474"/>
      <c r="F224" s="474"/>
      <c r="G224" s="474"/>
      <c r="H224" s="474"/>
      <c r="I224" s="474"/>
      <c r="J224" s="474"/>
      <c r="K224" s="474"/>
      <c r="L224" s="474"/>
      <c r="M224" s="474"/>
      <c r="N224" s="474"/>
      <c r="O224" s="474"/>
      <c r="P224" s="474"/>
    </row>
    <row r="225" spans="1:16">
      <c r="A225" s="474"/>
      <c r="B225" s="474"/>
      <c r="C225" s="474"/>
      <c r="D225" s="474"/>
      <c r="E225" s="474"/>
      <c r="F225" s="474"/>
      <c r="G225" s="474"/>
      <c r="H225" s="474"/>
      <c r="I225" s="474"/>
      <c r="J225" s="474"/>
      <c r="K225" s="474"/>
      <c r="L225" s="474"/>
      <c r="M225" s="474"/>
      <c r="N225" s="474"/>
      <c r="O225" s="474"/>
      <c r="P225" s="474"/>
    </row>
    <row r="226" spans="1:16">
      <c r="A226" s="474"/>
      <c r="B226" s="474"/>
      <c r="C226" s="474"/>
      <c r="D226" s="474"/>
      <c r="E226" s="474"/>
      <c r="F226" s="474"/>
      <c r="G226" s="474"/>
      <c r="H226" s="474"/>
      <c r="I226" s="474"/>
      <c r="J226" s="474"/>
      <c r="K226" s="474"/>
      <c r="L226" s="474"/>
      <c r="M226" s="474"/>
      <c r="N226" s="474"/>
      <c r="O226" s="474"/>
      <c r="P226" s="474"/>
    </row>
    <row r="227" spans="1:16">
      <c r="A227" s="474"/>
      <c r="B227" s="474"/>
      <c r="C227" s="474"/>
      <c r="D227" s="474"/>
      <c r="E227" s="474"/>
      <c r="F227" s="474"/>
      <c r="G227" s="474"/>
      <c r="H227" s="474"/>
      <c r="I227" s="474"/>
      <c r="J227" s="474"/>
      <c r="K227" s="474"/>
      <c r="L227" s="474"/>
      <c r="M227" s="474"/>
      <c r="N227" s="474"/>
      <c r="O227" s="474"/>
      <c r="P227" s="474"/>
    </row>
    <row r="228" spans="1:16">
      <c r="A228" s="474"/>
      <c r="B228" s="474"/>
      <c r="C228" s="474"/>
      <c r="D228" s="474"/>
      <c r="E228" s="474"/>
      <c r="F228" s="474"/>
      <c r="G228" s="474"/>
      <c r="H228" s="474"/>
      <c r="I228" s="474"/>
      <c r="J228" s="474"/>
      <c r="K228" s="474"/>
      <c r="L228" s="474"/>
      <c r="M228" s="474"/>
      <c r="N228" s="474"/>
      <c r="O228" s="474"/>
      <c r="P228" s="474"/>
    </row>
    <row r="229" spans="1:16">
      <c r="A229" s="474"/>
      <c r="B229" s="474"/>
      <c r="C229" s="474"/>
      <c r="D229" s="474"/>
      <c r="E229" s="474"/>
      <c r="F229" s="474"/>
      <c r="G229" s="474"/>
      <c r="H229" s="474"/>
      <c r="I229" s="474"/>
      <c r="J229" s="474"/>
      <c r="K229" s="474"/>
      <c r="L229" s="474"/>
      <c r="M229" s="474"/>
      <c r="N229" s="474"/>
      <c r="O229" s="474"/>
      <c r="P229" s="474"/>
    </row>
    <row r="230" spans="1:16">
      <c r="A230" s="474"/>
      <c r="B230" s="474"/>
      <c r="C230" s="474"/>
      <c r="D230" s="474"/>
      <c r="E230" s="474"/>
      <c r="F230" s="474"/>
      <c r="G230" s="474"/>
      <c r="H230" s="474"/>
      <c r="I230" s="474"/>
      <c r="J230" s="474"/>
      <c r="K230" s="474"/>
      <c r="L230" s="474"/>
      <c r="M230" s="474"/>
      <c r="N230" s="474"/>
      <c r="O230" s="474"/>
      <c r="P230" s="474"/>
    </row>
    <row r="231" spans="1:16">
      <c r="A231" s="474"/>
      <c r="B231" s="474"/>
      <c r="C231" s="474"/>
      <c r="D231" s="474"/>
      <c r="E231" s="474"/>
      <c r="F231" s="474"/>
      <c r="G231" s="474"/>
      <c r="H231" s="474"/>
      <c r="I231" s="474"/>
      <c r="J231" s="474"/>
      <c r="K231" s="474"/>
      <c r="L231" s="474"/>
      <c r="M231" s="474"/>
      <c r="N231" s="474"/>
      <c r="O231" s="474"/>
      <c r="P231" s="474"/>
    </row>
    <row r="232" spans="1:16">
      <c r="A232" s="474"/>
      <c r="B232" s="474"/>
      <c r="C232" s="474"/>
      <c r="D232" s="474"/>
      <c r="E232" s="474"/>
      <c r="F232" s="474"/>
      <c r="G232" s="474"/>
      <c r="H232" s="474"/>
      <c r="I232" s="474"/>
      <c r="J232" s="474"/>
      <c r="K232" s="474"/>
      <c r="L232" s="474"/>
      <c r="M232" s="474"/>
      <c r="N232" s="474"/>
      <c r="O232" s="474"/>
      <c r="P232" s="474"/>
    </row>
    <row r="233" spans="1:16">
      <c r="A233" s="474"/>
      <c r="B233" s="474"/>
      <c r="C233" s="474"/>
      <c r="D233" s="474"/>
      <c r="E233" s="474"/>
      <c r="F233" s="474"/>
      <c r="G233" s="474"/>
      <c r="H233" s="474"/>
      <c r="I233" s="474"/>
      <c r="J233" s="474"/>
      <c r="K233" s="474"/>
      <c r="L233" s="474"/>
      <c r="M233" s="474"/>
      <c r="N233" s="474"/>
      <c r="O233" s="474"/>
      <c r="P233" s="474"/>
    </row>
    <row r="234" spans="1:16">
      <c r="A234" s="474"/>
      <c r="B234" s="474"/>
      <c r="C234" s="474"/>
      <c r="D234" s="474"/>
      <c r="E234" s="474"/>
      <c r="F234" s="474"/>
      <c r="G234" s="474"/>
      <c r="H234" s="474"/>
      <c r="I234" s="474"/>
      <c r="J234" s="474"/>
      <c r="K234" s="474"/>
      <c r="L234" s="474"/>
      <c r="M234" s="474"/>
      <c r="N234" s="474"/>
      <c r="O234" s="474"/>
      <c r="P234" s="474"/>
    </row>
    <row r="235" spans="1:16">
      <c r="A235" s="474"/>
      <c r="B235" s="474"/>
      <c r="C235" s="474"/>
      <c r="D235" s="474"/>
      <c r="E235" s="474"/>
      <c r="F235" s="474"/>
      <c r="G235" s="474"/>
      <c r="H235" s="474"/>
      <c r="I235" s="474"/>
      <c r="J235" s="474"/>
      <c r="K235" s="474"/>
      <c r="L235" s="474"/>
      <c r="M235" s="474"/>
      <c r="N235" s="474"/>
      <c r="O235" s="474"/>
      <c r="P235" s="474"/>
    </row>
    <row r="236" spans="1:16">
      <c r="A236" s="474"/>
      <c r="B236" s="474"/>
      <c r="C236" s="474"/>
      <c r="D236" s="474"/>
      <c r="E236" s="474"/>
      <c r="F236" s="47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</row>
    <row r="237" spans="1:16">
      <c r="A237" s="474"/>
      <c r="B237" s="474"/>
      <c r="C237" s="474"/>
      <c r="D237" s="474"/>
      <c r="E237" s="474"/>
      <c r="F237" s="474"/>
      <c r="G237" s="474"/>
      <c r="H237" s="474"/>
      <c r="I237" s="474"/>
      <c r="J237" s="474"/>
      <c r="K237" s="474"/>
      <c r="L237" s="474"/>
      <c r="M237" s="474"/>
      <c r="N237" s="474"/>
      <c r="O237" s="474"/>
      <c r="P237" s="474"/>
    </row>
    <row r="238" spans="1:16">
      <c r="A238" s="474"/>
      <c r="B238" s="474"/>
      <c r="C238" s="474"/>
      <c r="D238" s="474"/>
      <c r="E238" s="474"/>
      <c r="F238" s="474"/>
      <c r="G238" s="474"/>
      <c r="H238" s="474"/>
      <c r="I238" s="474"/>
      <c r="J238" s="474"/>
      <c r="K238" s="474"/>
      <c r="L238" s="474"/>
      <c r="M238" s="474"/>
      <c r="N238" s="474"/>
      <c r="O238" s="474"/>
      <c r="P238" s="474"/>
    </row>
    <row r="239" spans="1:16">
      <c r="A239" s="474"/>
      <c r="B239" s="474"/>
      <c r="C239" s="474"/>
      <c r="D239" s="474"/>
      <c r="E239" s="474"/>
      <c r="F239" s="474"/>
      <c r="G239" s="474"/>
      <c r="H239" s="474"/>
      <c r="I239" s="474"/>
      <c r="J239" s="474"/>
      <c r="K239" s="474"/>
      <c r="L239" s="474"/>
      <c r="M239" s="474"/>
      <c r="N239" s="474"/>
      <c r="O239" s="474"/>
      <c r="P239" s="474"/>
    </row>
    <row r="240" spans="1:16">
      <c r="A240" s="474"/>
      <c r="B240" s="474"/>
      <c r="C240" s="474"/>
      <c r="D240" s="474"/>
      <c r="E240" s="474"/>
      <c r="F240" s="474"/>
      <c r="G240" s="474"/>
      <c r="H240" s="474"/>
      <c r="I240" s="474"/>
      <c r="J240" s="474"/>
      <c r="K240" s="474"/>
      <c r="L240" s="474"/>
      <c r="M240" s="474"/>
      <c r="N240" s="474"/>
      <c r="O240" s="474"/>
      <c r="P240" s="474"/>
    </row>
    <row r="241" spans="1:16">
      <c r="A241" s="474"/>
      <c r="B241" s="474"/>
      <c r="C241" s="474"/>
      <c r="D241" s="474"/>
      <c r="E241" s="474"/>
      <c r="F241" s="474"/>
      <c r="G241" s="474"/>
      <c r="H241" s="474"/>
      <c r="I241" s="474"/>
      <c r="J241" s="474"/>
      <c r="K241" s="474"/>
      <c r="L241" s="474"/>
      <c r="M241" s="474"/>
      <c r="N241" s="474"/>
      <c r="O241" s="474"/>
      <c r="P241" s="474"/>
    </row>
    <row r="242" spans="1:16">
      <c r="A242" s="474"/>
      <c r="B242" s="474"/>
      <c r="C242" s="474"/>
      <c r="D242" s="474"/>
      <c r="E242" s="474"/>
      <c r="F242" s="474"/>
      <c r="G242" s="474"/>
      <c r="H242" s="474"/>
      <c r="I242" s="474"/>
      <c r="J242" s="474"/>
      <c r="K242" s="474"/>
      <c r="L242" s="474"/>
      <c r="M242" s="474"/>
      <c r="N242" s="474"/>
      <c r="O242" s="474"/>
      <c r="P242" s="474"/>
    </row>
    <row r="243" spans="1:16">
      <c r="A243" s="474"/>
      <c r="B243" s="474"/>
      <c r="C243" s="474"/>
      <c r="D243" s="474"/>
      <c r="E243" s="474"/>
      <c r="F243" s="474"/>
      <c r="G243" s="474"/>
      <c r="H243" s="474"/>
      <c r="I243" s="474"/>
      <c r="J243" s="474"/>
      <c r="K243" s="474"/>
      <c r="L243" s="474"/>
      <c r="M243" s="474"/>
      <c r="N243" s="474"/>
      <c r="O243" s="474"/>
      <c r="P243" s="474"/>
    </row>
    <row r="244" spans="1:16">
      <c r="A244" s="474"/>
      <c r="B244" s="474"/>
      <c r="C244" s="474"/>
      <c r="D244" s="474"/>
      <c r="E244" s="474"/>
      <c r="F244" s="474"/>
      <c r="G244" s="474"/>
      <c r="H244" s="474"/>
      <c r="I244" s="474"/>
      <c r="J244" s="474"/>
      <c r="K244" s="474"/>
      <c r="L244" s="474"/>
      <c r="M244" s="474"/>
      <c r="N244" s="474"/>
      <c r="O244" s="474"/>
      <c r="P244" s="474"/>
    </row>
    <row r="245" spans="1:16">
      <c r="A245" s="474"/>
      <c r="B245" s="474"/>
      <c r="C245" s="474"/>
      <c r="D245" s="474"/>
      <c r="E245" s="474"/>
      <c r="F245" s="474"/>
      <c r="G245" s="474"/>
      <c r="H245" s="474"/>
      <c r="I245" s="474"/>
      <c r="J245" s="474"/>
      <c r="K245" s="474"/>
      <c r="L245" s="474"/>
      <c r="M245" s="474"/>
      <c r="N245" s="474"/>
      <c r="O245" s="474"/>
      <c r="P245" s="474"/>
    </row>
    <row r="246" spans="1:16">
      <c r="A246" s="474"/>
      <c r="B246" s="474"/>
      <c r="C246" s="474"/>
      <c r="D246" s="474"/>
      <c r="E246" s="474"/>
      <c r="F246" s="474"/>
      <c r="G246" s="474"/>
      <c r="H246" s="474"/>
      <c r="I246" s="474"/>
      <c r="J246" s="474"/>
      <c r="K246" s="474"/>
      <c r="L246" s="474"/>
      <c r="M246" s="474"/>
      <c r="N246" s="474"/>
      <c r="O246" s="474"/>
      <c r="P246" s="474"/>
    </row>
    <row r="247" spans="1:16">
      <c r="A247" s="474"/>
      <c r="B247" s="474"/>
      <c r="C247" s="474"/>
      <c r="D247" s="474"/>
      <c r="E247" s="474"/>
      <c r="F247" s="474"/>
      <c r="G247" s="474"/>
      <c r="H247" s="474"/>
      <c r="I247" s="474"/>
      <c r="J247" s="474"/>
      <c r="K247" s="474"/>
      <c r="L247" s="474"/>
      <c r="M247" s="474"/>
      <c r="N247" s="474"/>
      <c r="O247" s="474"/>
      <c r="P247" s="474"/>
    </row>
    <row r="248" spans="1:16">
      <c r="A248" s="474"/>
      <c r="B248" s="474"/>
      <c r="C248" s="474"/>
      <c r="D248" s="474"/>
      <c r="E248" s="474"/>
      <c r="F248" s="474"/>
      <c r="G248" s="474"/>
      <c r="H248" s="474"/>
      <c r="I248" s="474"/>
      <c r="J248" s="474"/>
      <c r="K248" s="474"/>
      <c r="L248" s="474"/>
      <c r="M248" s="474"/>
      <c r="N248" s="474"/>
      <c r="O248" s="474"/>
      <c r="P248" s="474"/>
    </row>
    <row r="249" spans="1:16">
      <c r="A249" s="474"/>
      <c r="B249" s="474"/>
      <c r="C249" s="474"/>
      <c r="D249" s="474"/>
      <c r="E249" s="474"/>
      <c r="F249" s="474"/>
      <c r="G249" s="474"/>
      <c r="H249" s="474"/>
      <c r="I249" s="474"/>
      <c r="J249" s="474"/>
      <c r="K249" s="474"/>
      <c r="L249" s="474"/>
      <c r="M249" s="474"/>
      <c r="N249" s="474"/>
      <c r="O249" s="474"/>
      <c r="P249" s="474"/>
    </row>
    <row r="250" spans="1:16">
      <c r="A250" s="474"/>
      <c r="B250" s="474"/>
      <c r="C250" s="474"/>
      <c r="D250" s="474"/>
      <c r="E250" s="474"/>
      <c r="F250" s="474"/>
      <c r="G250" s="474"/>
      <c r="H250" s="474"/>
      <c r="I250" s="474"/>
      <c r="J250" s="474"/>
      <c r="K250" s="474"/>
      <c r="L250" s="474"/>
      <c r="M250" s="474"/>
      <c r="N250" s="474"/>
      <c r="O250" s="474"/>
      <c r="P250" s="474"/>
    </row>
    <row r="251" spans="1:16">
      <c r="A251" s="474"/>
      <c r="B251" s="474"/>
      <c r="C251" s="474"/>
      <c r="D251" s="474"/>
      <c r="E251" s="474"/>
      <c r="F251" s="474"/>
      <c r="G251" s="474"/>
      <c r="H251" s="474"/>
      <c r="I251" s="474"/>
      <c r="J251" s="474"/>
      <c r="K251" s="474"/>
      <c r="L251" s="474"/>
      <c r="M251" s="474"/>
      <c r="N251" s="474"/>
      <c r="O251" s="474"/>
      <c r="P251" s="474"/>
    </row>
    <row r="252" spans="1:16">
      <c r="A252" s="474"/>
      <c r="B252" s="474"/>
      <c r="C252" s="474"/>
      <c r="D252" s="474"/>
      <c r="E252" s="474"/>
      <c r="F252" s="474"/>
      <c r="G252" s="474"/>
      <c r="H252" s="474"/>
      <c r="I252" s="474"/>
      <c r="J252" s="474"/>
      <c r="K252" s="474"/>
      <c r="L252" s="474"/>
      <c r="M252" s="474"/>
      <c r="N252" s="474"/>
      <c r="O252" s="474"/>
      <c r="P252" s="474"/>
    </row>
    <row r="253" spans="1:16">
      <c r="A253" s="474"/>
      <c r="B253" s="474"/>
      <c r="C253" s="474"/>
      <c r="D253" s="474"/>
      <c r="E253" s="474"/>
      <c r="F253" s="474"/>
      <c r="G253" s="474"/>
      <c r="H253" s="474"/>
      <c r="I253" s="474"/>
      <c r="J253" s="474"/>
      <c r="K253" s="474"/>
      <c r="L253" s="474"/>
      <c r="M253" s="474"/>
      <c r="N253" s="474"/>
      <c r="O253" s="474"/>
      <c r="P253" s="474"/>
    </row>
    <row r="254" spans="1:16">
      <c r="A254" s="474"/>
      <c r="B254" s="474"/>
      <c r="C254" s="474"/>
      <c r="D254" s="474"/>
      <c r="E254" s="474"/>
      <c r="F254" s="474"/>
      <c r="G254" s="474"/>
      <c r="H254" s="474"/>
      <c r="I254" s="474"/>
      <c r="J254" s="474"/>
      <c r="K254" s="474"/>
      <c r="L254" s="474"/>
      <c r="M254" s="474"/>
      <c r="N254" s="474"/>
      <c r="O254" s="474"/>
      <c r="P254" s="474"/>
    </row>
    <row r="255" spans="1:16">
      <c r="A255" s="474"/>
      <c r="B255" s="474"/>
      <c r="C255" s="474"/>
      <c r="D255" s="474"/>
      <c r="E255" s="474"/>
      <c r="F255" s="474"/>
      <c r="G255" s="474"/>
      <c r="H255" s="474"/>
      <c r="I255" s="474"/>
      <c r="J255" s="474"/>
      <c r="K255" s="474"/>
      <c r="L255" s="474"/>
      <c r="M255" s="474"/>
      <c r="N255" s="474"/>
      <c r="O255" s="474"/>
      <c r="P255" s="474"/>
    </row>
    <row r="256" spans="1:16">
      <c r="A256" s="474"/>
      <c r="B256" s="474"/>
      <c r="C256" s="474"/>
      <c r="D256" s="474"/>
      <c r="E256" s="474"/>
      <c r="F256" s="474"/>
      <c r="G256" s="474"/>
      <c r="H256" s="474"/>
      <c r="I256" s="474"/>
      <c r="J256" s="474"/>
      <c r="K256" s="474"/>
      <c r="L256" s="474"/>
      <c r="M256" s="474"/>
      <c r="N256" s="474"/>
      <c r="O256" s="474"/>
      <c r="P256" s="474"/>
    </row>
    <row r="257" spans="1:16">
      <c r="A257" s="474"/>
      <c r="B257" s="474"/>
      <c r="C257" s="474"/>
      <c r="D257" s="474"/>
      <c r="E257" s="474"/>
      <c r="F257" s="474"/>
      <c r="G257" s="474"/>
      <c r="H257" s="474"/>
      <c r="I257" s="474"/>
      <c r="J257" s="474"/>
      <c r="K257" s="474"/>
      <c r="L257" s="474"/>
      <c r="M257" s="474"/>
      <c r="N257" s="474"/>
      <c r="O257" s="474"/>
      <c r="P257" s="474"/>
    </row>
    <row r="258" spans="1:16">
      <c r="A258" s="474"/>
      <c r="B258" s="474"/>
      <c r="C258" s="474"/>
      <c r="D258" s="474"/>
      <c r="E258" s="474"/>
      <c r="F258" s="474"/>
      <c r="G258" s="474"/>
      <c r="H258" s="474"/>
      <c r="I258" s="474"/>
      <c r="J258" s="474"/>
      <c r="K258" s="474"/>
      <c r="L258" s="474"/>
      <c r="M258" s="474"/>
      <c r="N258" s="474"/>
      <c r="O258" s="474"/>
      <c r="P258" s="474"/>
    </row>
    <row r="259" spans="1:16">
      <c r="A259" s="474"/>
      <c r="B259" s="474"/>
      <c r="C259" s="474"/>
      <c r="D259" s="474"/>
      <c r="E259" s="474"/>
      <c r="F259" s="474"/>
      <c r="G259" s="474"/>
      <c r="H259" s="474"/>
      <c r="I259" s="474"/>
      <c r="J259" s="474"/>
      <c r="K259" s="474"/>
      <c r="L259" s="474"/>
      <c r="M259" s="474"/>
      <c r="N259" s="474"/>
      <c r="O259" s="474"/>
      <c r="P259" s="474"/>
    </row>
    <row r="260" spans="1:16">
      <c r="A260" s="474"/>
      <c r="B260" s="474"/>
      <c r="C260" s="474"/>
      <c r="D260" s="474"/>
      <c r="E260" s="474"/>
      <c r="F260" s="474"/>
      <c r="G260" s="474"/>
      <c r="H260" s="474"/>
      <c r="I260" s="474"/>
      <c r="J260" s="474"/>
      <c r="K260" s="474"/>
      <c r="L260" s="474"/>
      <c r="M260" s="474"/>
      <c r="N260" s="474"/>
      <c r="O260" s="474"/>
      <c r="P260" s="474"/>
    </row>
    <row r="261" spans="1:16">
      <c r="A261" s="474"/>
      <c r="B261" s="474"/>
      <c r="C261" s="474"/>
      <c r="D261" s="474"/>
      <c r="E261" s="474"/>
      <c r="F261" s="474"/>
      <c r="G261" s="474"/>
      <c r="H261" s="474"/>
      <c r="I261" s="474"/>
      <c r="J261" s="474"/>
      <c r="K261" s="474"/>
      <c r="L261" s="474"/>
      <c r="M261" s="474"/>
      <c r="N261" s="474"/>
      <c r="O261" s="474"/>
      <c r="P261" s="474"/>
    </row>
    <row r="262" spans="1:16">
      <c r="A262" s="474"/>
      <c r="B262" s="474"/>
      <c r="C262" s="474"/>
      <c r="D262" s="474"/>
      <c r="E262" s="474"/>
      <c r="F262" s="474"/>
      <c r="G262" s="474"/>
      <c r="H262" s="474"/>
      <c r="I262" s="474"/>
      <c r="J262" s="474"/>
      <c r="K262" s="474"/>
      <c r="L262" s="474"/>
      <c r="M262" s="474"/>
      <c r="N262" s="474"/>
      <c r="O262" s="474"/>
      <c r="P262" s="474"/>
    </row>
    <row r="263" spans="1:16">
      <c r="A263" s="474"/>
      <c r="B263" s="474"/>
      <c r="C263" s="474"/>
      <c r="D263" s="474"/>
      <c r="E263" s="474"/>
      <c r="F263" s="474"/>
      <c r="G263" s="474"/>
      <c r="H263" s="474"/>
      <c r="I263" s="474"/>
      <c r="J263" s="474"/>
      <c r="K263" s="474"/>
      <c r="L263" s="474"/>
      <c r="M263" s="474"/>
      <c r="N263" s="474"/>
      <c r="O263" s="474"/>
      <c r="P263" s="474"/>
    </row>
    <row r="264" spans="1:16">
      <c r="A264" s="474"/>
      <c r="B264" s="474"/>
      <c r="C264" s="474"/>
      <c r="D264" s="474"/>
      <c r="E264" s="474"/>
      <c r="F264" s="474"/>
      <c r="G264" s="474"/>
      <c r="H264" s="474"/>
      <c r="I264" s="474"/>
      <c r="J264" s="474"/>
      <c r="K264" s="474"/>
      <c r="L264" s="474"/>
      <c r="M264" s="474"/>
      <c r="N264" s="474"/>
      <c r="O264" s="474"/>
      <c r="P264" s="474"/>
    </row>
    <row r="265" spans="1:16">
      <c r="A265" s="474"/>
      <c r="B265" s="474"/>
      <c r="C265" s="474"/>
      <c r="D265" s="474"/>
      <c r="E265" s="474"/>
      <c r="F265" s="474"/>
      <c r="G265" s="474"/>
      <c r="H265" s="474"/>
      <c r="I265" s="474"/>
      <c r="J265" s="474"/>
      <c r="K265" s="474"/>
      <c r="L265" s="474"/>
      <c r="M265" s="474"/>
      <c r="N265" s="474"/>
      <c r="O265" s="474"/>
      <c r="P265" s="474"/>
    </row>
    <row r="266" spans="1:16">
      <c r="A266" s="474"/>
      <c r="B266" s="474"/>
      <c r="C266" s="474"/>
      <c r="D266" s="474"/>
      <c r="E266" s="474"/>
      <c r="F266" s="474"/>
      <c r="G266" s="474"/>
      <c r="H266" s="474"/>
      <c r="I266" s="474"/>
      <c r="J266" s="474"/>
      <c r="K266" s="474"/>
      <c r="L266" s="474"/>
      <c r="M266" s="474"/>
      <c r="N266" s="474"/>
      <c r="O266" s="474"/>
      <c r="P266" s="474"/>
    </row>
    <row r="267" spans="1:16">
      <c r="A267" s="474"/>
      <c r="B267" s="474"/>
      <c r="C267" s="474"/>
      <c r="D267" s="474"/>
      <c r="E267" s="474"/>
      <c r="F267" s="474"/>
      <c r="G267" s="474"/>
      <c r="H267" s="474"/>
      <c r="I267" s="474"/>
      <c r="J267" s="474"/>
      <c r="K267" s="474"/>
      <c r="L267" s="474"/>
      <c r="M267" s="474"/>
      <c r="N267" s="474"/>
      <c r="O267" s="474"/>
      <c r="P267" s="474"/>
    </row>
    <row r="268" spans="1:16">
      <c r="A268" s="474"/>
      <c r="B268" s="474"/>
      <c r="C268" s="474"/>
      <c r="D268" s="474"/>
      <c r="E268" s="474"/>
      <c r="F268" s="474"/>
      <c r="G268" s="474"/>
      <c r="H268" s="474"/>
      <c r="I268" s="474"/>
      <c r="J268" s="474"/>
      <c r="K268" s="474"/>
      <c r="L268" s="474"/>
      <c r="M268" s="474"/>
      <c r="N268" s="474"/>
      <c r="O268" s="474"/>
      <c r="P268" s="474"/>
    </row>
    <row r="269" spans="1:16">
      <c r="A269" s="474"/>
      <c r="B269" s="474"/>
      <c r="C269" s="474"/>
      <c r="D269" s="474"/>
      <c r="E269" s="474"/>
      <c r="F269" s="474"/>
      <c r="G269" s="474"/>
      <c r="H269" s="474"/>
      <c r="I269" s="474"/>
      <c r="J269" s="474"/>
      <c r="K269" s="474"/>
      <c r="L269" s="474"/>
      <c r="M269" s="474"/>
      <c r="N269" s="474"/>
      <c r="O269" s="474"/>
      <c r="P269" s="474"/>
    </row>
    <row r="270" spans="1:16">
      <c r="A270" s="474"/>
      <c r="B270" s="474"/>
      <c r="C270" s="474"/>
      <c r="D270" s="474"/>
      <c r="E270" s="474"/>
      <c r="F270" s="474"/>
      <c r="G270" s="474"/>
      <c r="H270" s="474"/>
      <c r="I270" s="474"/>
      <c r="J270" s="474"/>
      <c r="K270" s="474"/>
      <c r="L270" s="474"/>
      <c r="M270" s="474"/>
      <c r="N270" s="474"/>
      <c r="O270" s="474"/>
      <c r="P270" s="474"/>
    </row>
    <row r="271" spans="1:16">
      <c r="A271" s="474"/>
      <c r="B271" s="474"/>
      <c r="C271" s="474"/>
      <c r="D271" s="474"/>
      <c r="E271" s="474"/>
      <c r="F271" s="474"/>
      <c r="G271" s="474"/>
      <c r="H271" s="474"/>
      <c r="I271" s="474"/>
      <c r="J271" s="474"/>
      <c r="K271" s="474"/>
      <c r="L271" s="474"/>
      <c r="M271" s="474"/>
      <c r="N271" s="474"/>
      <c r="O271" s="474"/>
      <c r="P271" s="474"/>
    </row>
    <row r="272" spans="1:16">
      <c r="A272" s="474"/>
      <c r="B272" s="474"/>
      <c r="C272" s="474"/>
      <c r="D272" s="474"/>
      <c r="E272" s="474"/>
      <c r="F272" s="474"/>
      <c r="G272" s="474"/>
      <c r="H272" s="474"/>
      <c r="I272" s="474"/>
      <c r="J272" s="474"/>
      <c r="K272" s="474"/>
      <c r="L272" s="474"/>
      <c r="M272" s="474"/>
      <c r="N272" s="474"/>
      <c r="O272" s="474"/>
      <c r="P272" s="474"/>
    </row>
    <row r="273" spans="1:16">
      <c r="A273" s="474"/>
      <c r="B273" s="474"/>
      <c r="C273" s="474"/>
      <c r="D273" s="474"/>
      <c r="E273" s="474"/>
      <c r="F273" s="474"/>
      <c r="G273" s="474"/>
      <c r="H273" s="474"/>
      <c r="I273" s="474"/>
      <c r="J273" s="474"/>
      <c r="K273" s="474"/>
      <c r="L273" s="474"/>
      <c r="M273" s="474"/>
      <c r="N273" s="474"/>
      <c r="O273" s="474"/>
      <c r="P273" s="474"/>
    </row>
    <row r="274" spans="1:16">
      <c r="A274" s="474"/>
      <c r="B274" s="474"/>
      <c r="C274" s="474"/>
      <c r="D274" s="474"/>
      <c r="E274" s="474"/>
      <c r="F274" s="474"/>
      <c r="G274" s="474"/>
      <c r="H274" s="474"/>
      <c r="I274" s="474"/>
      <c r="J274" s="474"/>
      <c r="K274" s="474"/>
      <c r="L274" s="474"/>
      <c r="M274" s="474"/>
      <c r="N274" s="474"/>
      <c r="O274" s="474"/>
      <c r="P274" s="474"/>
    </row>
    <row r="275" spans="1:16">
      <c r="A275" s="474"/>
      <c r="B275" s="474"/>
      <c r="C275" s="474"/>
      <c r="D275" s="474"/>
      <c r="E275" s="474"/>
      <c r="F275" s="474"/>
      <c r="G275" s="474"/>
      <c r="H275" s="474"/>
      <c r="I275" s="474"/>
      <c r="J275" s="474"/>
      <c r="K275" s="474"/>
      <c r="L275" s="474"/>
      <c r="M275" s="474"/>
      <c r="N275" s="474"/>
      <c r="O275" s="474"/>
      <c r="P275" s="474"/>
    </row>
    <row r="276" spans="1:16">
      <c r="A276" s="474"/>
      <c r="B276" s="474"/>
      <c r="C276" s="474"/>
      <c r="D276" s="474"/>
      <c r="E276" s="474"/>
      <c r="F276" s="474"/>
      <c r="G276" s="474"/>
      <c r="H276" s="474"/>
      <c r="I276" s="474"/>
      <c r="J276" s="474"/>
      <c r="K276" s="474"/>
      <c r="L276" s="474"/>
      <c r="M276" s="474"/>
      <c r="N276" s="474"/>
      <c r="O276" s="474"/>
      <c r="P276" s="474"/>
    </row>
    <row r="277" spans="1:16">
      <c r="A277" s="474"/>
      <c r="B277" s="474"/>
      <c r="C277" s="474"/>
      <c r="D277" s="474"/>
      <c r="E277" s="474"/>
      <c r="F277" s="474"/>
      <c r="G277" s="474"/>
      <c r="H277" s="474"/>
      <c r="I277" s="474"/>
      <c r="J277" s="474"/>
      <c r="K277" s="474"/>
      <c r="L277" s="474"/>
      <c r="M277" s="474"/>
      <c r="N277" s="474"/>
      <c r="O277" s="474"/>
      <c r="P277" s="474"/>
    </row>
    <row r="278" spans="1:16">
      <c r="A278" s="474"/>
      <c r="B278" s="474"/>
      <c r="C278" s="474"/>
      <c r="D278" s="474"/>
      <c r="E278" s="474"/>
      <c r="F278" s="474"/>
      <c r="G278" s="474"/>
      <c r="H278" s="474"/>
      <c r="I278" s="474"/>
      <c r="J278" s="474"/>
      <c r="K278" s="474"/>
      <c r="L278" s="474"/>
      <c r="M278" s="474"/>
      <c r="N278" s="474"/>
      <c r="O278" s="474"/>
      <c r="P278" s="474"/>
    </row>
    <row r="279" spans="1:16">
      <c r="A279" s="474"/>
      <c r="B279" s="474"/>
      <c r="C279" s="474"/>
      <c r="D279" s="474"/>
      <c r="E279" s="474"/>
      <c r="F279" s="474"/>
      <c r="G279" s="474"/>
      <c r="H279" s="474"/>
      <c r="I279" s="474"/>
      <c r="J279" s="474"/>
      <c r="K279" s="474"/>
      <c r="L279" s="474"/>
      <c r="M279" s="474"/>
      <c r="N279" s="474"/>
      <c r="O279" s="474"/>
      <c r="P279" s="474"/>
    </row>
    <row r="280" spans="1:16">
      <c r="A280" s="474"/>
      <c r="B280" s="474"/>
      <c r="C280" s="474"/>
      <c r="D280" s="474"/>
      <c r="E280" s="474"/>
      <c r="F280" s="474"/>
      <c r="G280" s="474"/>
      <c r="H280" s="474"/>
      <c r="I280" s="474"/>
      <c r="J280" s="474"/>
      <c r="K280" s="474"/>
      <c r="L280" s="474"/>
      <c r="M280" s="474"/>
      <c r="N280" s="474"/>
      <c r="O280" s="474"/>
      <c r="P280" s="474"/>
    </row>
    <row r="281" spans="1:16">
      <c r="A281" s="474"/>
      <c r="B281" s="474"/>
      <c r="C281" s="474"/>
      <c r="D281" s="474"/>
      <c r="E281" s="474"/>
      <c r="F281" s="474"/>
      <c r="G281" s="474"/>
      <c r="H281" s="474"/>
      <c r="I281" s="474"/>
      <c r="J281" s="474"/>
      <c r="K281" s="474"/>
      <c r="L281" s="474"/>
      <c r="M281" s="474"/>
      <c r="N281" s="474"/>
      <c r="O281" s="474"/>
      <c r="P281" s="474"/>
    </row>
    <row r="282" spans="1:16">
      <c r="A282" s="474"/>
      <c r="B282" s="474"/>
      <c r="C282" s="474"/>
      <c r="D282" s="474"/>
      <c r="E282" s="474"/>
      <c r="F282" s="474"/>
      <c r="G282" s="474"/>
      <c r="H282" s="474"/>
      <c r="I282" s="474"/>
      <c r="J282" s="474"/>
      <c r="K282" s="474"/>
      <c r="L282" s="474"/>
      <c r="M282" s="474"/>
      <c r="N282" s="474"/>
      <c r="O282" s="474"/>
      <c r="P282" s="474"/>
    </row>
    <row r="283" spans="1:16">
      <c r="A283" s="474"/>
      <c r="B283" s="474"/>
      <c r="C283" s="474"/>
      <c r="D283" s="474"/>
      <c r="E283" s="474"/>
      <c r="F283" s="474"/>
      <c r="G283" s="474"/>
      <c r="H283" s="474"/>
      <c r="I283" s="474"/>
      <c r="J283" s="474"/>
      <c r="K283" s="474"/>
      <c r="L283" s="474"/>
      <c r="M283" s="474"/>
      <c r="N283" s="474"/>
      <c r="O283" s="474"/>
      <c r="P283" s="474"/>
    </row>
    <row r="284" spans="1:16">
      <c r="A284" s="474"/>
      <c r="B284" s="474"/>
      <c r="C284" s="474"/>
      <c r="D284" s="474"/>
      <c r="E284" s="474"/>
      <c r="F284" s="474"/>
      <c r="G284" s="474"/>
      <c r="H284" s="474"/>
      <c r="I284" s="474"/>
      <c r="J284" s="474"/>
      <c r="K284" s="474"/>
      <c r="L284" s="474"/>
      <c r="M284" s="474"/>
      <c r="N284" s="474"/>
      <c r="O284" s="474"/>
      <c r="P284" s="474"/>
    </row>
    <row r="285" spans="1:16">
      <c r="A285" s="474"/>
      <c r="B285" s="474"/>
      <c r="C285" s="474"/>
      <c r="D285" s="474"/>
      <c r="E285" s="474"/>
      <c r="F285" s="474"/>
      <c r="G285" s="474"/>
      <c r="H285" s="474"/>
      <c r="I285" s="474"/>
      <c r="J285" s="474"/>
      <c r="K285" s="474"/>
      <c r="L285" s="474"/>
      <c r="M285" s="474"/>
      <c r="N285" s="474"/>
      <c r="O285" s="474"/>
      <c r="P285" s="474"/>
    </row>
    <row r="286" spans="1:16">
      <c r="A286" s="474"/>
      <c r="B286" s="474"/>
      <c r="C286" s="474"/>
      <c r="D286" s="474"/>
      <c r="E286" s="474"/>
      <c r="F286" s="474"/>
      <c r="G286" s="474"/>
      <c r="H286" s="474"/>
      <c r="I286" s="474"/>
      <c r="J286" s="474"/>
      <c r="K286" s="474"/>
      <c r="L286" s="474"/>
      <c r="M286" s="474"/>
      <c r="N286" s="474"/>
      <c r="O286" s="474"/>
      <c r="P286" s="474"/>
    </row>
    <row r="287" spans="1:16">
      <c r="A287" s="474"/>
      <c r="B287" s="474"/>
      <c r="C287" s="474"/>
      <c r="D287" s="474"/>
      <c r="E287" s="474"/>
      <c r="F287" s="474"/>
      <c r="G287" s="474"/>
      <c r="H287" s="474"/>
      <c r="I287" s="474"/>
      <c r="J287" s="474"/>
      <c r="K287" s="474"/>
      <c r="L287" s="474"/>
      <c r="M287" s="474"/>
      <c r="N287" s="474"/>
      <c r="O287" s="474"/>
      <c r="P287" s="474"/>
    </row>
    <row r="288" spans="1:16">
      <c r="A288" s="474"/>
      <c r="B288" s="474"/>
      <c r="C288" s="474"/>
      <c r="D288" s="474"/>
      <c r="E288" s="474"/>
      <c r="F288" s="474"/>
      <c r="G288" s="474"/>
      <c r="H288" s="474"/>
      <c r="I288" s="474"/>
      <c r="J288" s="474"/>
      <c r="K288" s="474"/>
      <c r="L288" s="474"/>
      <c r="M288" s="474"/>
      <c r="N288" s="474"/>
      <c r="O288" s="474"/>
      <c r="P288" s="474"/>
    </row>
    <row r="289" spans="1:16">
      <c r="A289" s="474"/>
      <c r="B289" s="474"/>
      <c r="C289" s="474"/>
      <c r="D289" s="474"/>
      <c r="E289" s="474"/>
      <c r="F289" s="474"/>
      <c r="G289" s="474"/>
      <c r="H289" s="474"/>
      <c r="I289" s="474"/>
      <c r="J289" s="474"/>
      <c r="K289" s="474"/>
      <c r="L289" s="474"/>
      <c r="M289" s="474"/>
      <c r="N289" s="474"/>
      <c r="O289" s="474"/>
      <c r="P289" s="474"/>
    </row>
    <row r="290" spans="1:16">
      <c r="A290" s="474"/>
      <c r="B290" s="474"/>
      <c r="C290" s="474"/>
      <c r="D290" s="474"/>
      <c r="E290" s="474"/>
      <c r="F290" s="474"/>
      <c r="G290" s="474"/>
      <c r="H290" s="474"/>
      <c r="I290" s="474"/>
      <c r="J290" s="474"/>
      <c r="K290" s="474"/>
      <c r="L290" s="474"/>
      <c r="M290" s="474"/>
      <c r="N290" s="474"/>
      <c r="O290" s="474"/>
      <c r="P290" s="474"/>
    </row>
    <row r="291" spans="1:16">
      <c r="A291" s="474"/>
      <c r="B291" s="474"/>
      <c r="C291" s="474"/>
      <c r="D291" s="474"/>
      <c r="E291" s="474"/>
      <c r="F291" s="474"/>
      <c r="G291" s="474"/>
      <c r="H291" s="474"/>
      <c r="I291" s="474"/>
      <c r="J291" s="474"/>
      <c r="K291" s="474"/>
      <c r="L291" s="474"/>
      <c r="M291" s="474"/>
      <c r="N291" s="474"/>
      <c r="O291" s="474"/>
      <c r="P291" s="474"/>
    </row>
    <row r="292" spans="1:16">
      <c r="A292" s="474"/>
      <c r="B292" s="474"/>
      <c r="C292" s="474"/>
      <c r="D292" s="474"/>
      <c r="E292" s="474"/>
      <c r="F292" s="474"/>
      <c r="G292" s="474"/>
      <c r="H292" s="474"/>
      <c r="I292" s="474"/>
      <c r="J292" s="474"/>
      <c r="K292" s="474"/>
      <c r="L292" s="474"/>
      <c r="M292" s="474"/>
      <c r="N292" s="474"/>
      <c r="O292" s="474"/>
      <c r="P292" s="474"/>
    </row>
    <row r="293" spans="1:16">
      <c r="A293" s="474"/>
      <c r="B293" s="474"/>
      <c r="C293" s="474"/>
      <c r="D293" s="474"/>
      <c r="E293" s="474"/>
      <c r="F293" s="474"/>
      <c r="G293" s="474"/>
      <c r="H293" s="474"/>
      <c r="I293" s="474"/>
      <c r="J293" s="474"/>
      <c r="K293" s="474"/>
      <c r="L293" s="474"/>
      <c r="M293" s="474"/>
      <c r="N293" s="474"/>
      <c r="O293" s="474"/>
      <c r="P293" s="474"/>
    </row>
    <row r="294" spans="1:16">
      <c r="A294" s="474"/>
      <c r="B294" s="474"/>
      <c r="C294" s="474"/>
      <c r="D294" s="474"/>
      <c r="E294" s="474"/>
      <c r="F294" s="474"/>
      <c r="G294" s="474"/>
      <c r="H294" s="474"/>
      <c r="I294" s="474"/>
      <c r="J294" s="474"/>
      <c r="K294" s="474"/>
      <c r="L294" s="474"/>
      <c r="M294" s="474"/>
      <c r="N294" s="474"/>
      <c r="O294" s="474"/>
      <c r="P294" s="474"/>
    </row>
    <row r="295" spans="1:16">
      <c r="A295" s="474"/>
      <c r="B295" s="474"/>
      <c r="C295" s="474"/>
      <c r="D295" s="474"/>
      <c r="E295" s="474"/>
      <c r="F295" s="474"/>
      <c r="G295" s="474"/>
      <c r="H295" s="474"/>
      <c r="I295" s="474"/>
      <c r="J295" s="474"/>
      <c r="K295" s="474"/>
      <c r="L295" s="474"/>
      <c r="M295" s="474"/>
      <c r="N295" s="474"/>
      <c r="O295" s="474"/>
      <c r="P295" s="474"/>
    </row>
    <row r="296" spans="1:16">
      <c r="A296" s="474"/>
      <c r="B296" s="474"/>
      <c r="C296" s="474"/>
      <c r="D296" s="474"/>
      <c r="E296" s="474"/>
      <c r="F296" s="474"/>
      <c r="G296" s="474"/>
      <c r="H296" s="474"/>
      <c r="I296" s="474"/>
      <c r="J296" s="474"/>
      <c r="K296" s="474"/>
      <c r="L296" s="474"/>
      <c r="M296" s="474"/>
      <c r="N296" s="474"/>
      <c r="O296" s="474"/>
      <c r="P296" s="474"/>
    </row>
    <row r="297" spans="1:16">
      <c r="A297" s="474"/>
      <c r="B297" s="474"/>
      <c r="C297" s="474"/>
      <c r="D297" s="474"/>
      <c r="E297" s="474"/>
      <c r="F297" s="474"/>
      <c r="G297" s="474"/>
      <c r="H297" s="474"/>
      <c r="I297" s="474"/>
      <c r="J297" s="474"/>
      <c r="K297" s="474"/>
      <c r="L297" s="474"/>
      <c r="M297" s="474"/>
      <c r="N297" s="474"/>
      <c r="O297" s="474"/>
      <c r="P297" s="474"/>
    </row>
    <row r="298" spans="1:16">
      <c r="A298" s="474"/>
      <c r="B298" s="474"/>
      <c r="C298" s="474"/>
      <c r="D298" s="474"/>
      <c r="E298" s="474"/>
      <c r="F298" s="474"/>
      <c r="G298" s="474"/>
      <c r="H298" s="474"/>
      <c r="I298" s="474"/>
      <c r="J298" s="474"/>
      <c r="K298" s="474"/>
      <c r="L298" s="474"/>
      <c r="M298" s="474"/>
      <c r="N298" s="474"/>
      <c r="O298" s="474"/>
      <c r="P298" s="474"/>
    </row>
    <row r="299" spans="1:16">
      <c r="A299" s="474"/>
      <c r="B299" s="474"/>
      <c r="C299" s="474"/>
      <c r="D299" s="474"/>
      <c r="E299" s="474"/>
      <c r="F299" s="474"/>
      <c r="G299" s="474"/>
      <c r="H299" s="474"/>
      <c r="I299" s="474"/>
      <c r="J299" s="474"/>
      <c r="K299" s="474"/>
      <c r="L299" s="474"/>
      <c r="M299" s="474"/>
      <c r="N299" s="474"/>
      <c r="O299" s="474"/>
      <c r="P299" s="474"/>
    </row>
    <row r="300" spans="1:16">
      <c r="A300" s="474"/>
      <c r="B300" s="474"/>
      <c r="C300" s="474"/>
      <c r="D300" s="474"/>
      <c r="E300" s="474"/>
      <c r="F300" s="474"/>
      <c r="G300" s="474"/>
      <c r="H300" s="474"/>
      <c r="I300" s="474"/>
      <c r="J300" s="474"/>
      <c r="K300" s="474"/>
      <c r="L300" s="474"/>
      <c r="M300" s="474"/>
      <c r="N300" s="474"/>
      <c r="O300" s="474"/>
      <c r="P300" s="474"/>
    </row>
    <row r="301" spans="1:16">
      <c r="A301" s="474"/>
      <c r="B301" s="474"/>
      <c r="C301" s="474"/>
      <c r="D301" s="474"/>
      <c r="E301" s="474"/>
      <c r="F301" s="474"/>
      <c r="G301" s="474"/>
      <c r="H301" s="474"/>
      <c r="I301" s="474"/>
      <c r="J301" s="474"/>
      <c r="K301" s="474"/>
      <c r="L301" s="474"/>
      <c r="M301" s="474"/>
      <c r="N301" s="474"/>
      <c r="O301" s="474"/>
      <c r="P301" s="474"/>
    </row>
    <row r="302" spans="1:16">
      <c r="A302" s="474"/>
      <c r="B302" s="474"/>
      <c r="C302" s="474"/>
      <c r="D302" s="474"/>
      <c r="E302" s="474"/>
      <c r="F302" s="474"/>
      <c r="G302" s="474"/>
      <c r="H302" s="474"/>
      <c r="I302" s="474"/>
      <c r="J302" s="474"/>
      <c r="K302" s="474"/>
      <c r="L302" s="474"/>
      <c r="M302" s="474"/>
      <c r="N302" s="474"/>
      <c r="O302" s="474"/>
      <c r="P302" s="474"/>
    </row>
    <row r="303" spans="1:16">
      <c r="A303" s="474"/>
      <c r="B303" s="474"/>
      <c r="C303" s="474"/>
      <c r="D303" s="474"/>
      <c r="E303" s="474"/>
      <c r="F303" s="474"/>
      <c r="G303" s="474"/>
      <c r="H303" s="474"/>
      <c r="I303" s="474"/>
      <c r="J303" s="474"/>
      <c r="K303" s="474"/>
      <c r="L303" s="474"/>
      <c r="M303" s="474"/>
      <c r="N303" s="474"/>
      <c r="O303" s="474"/>
      <c r="P303" s="474"/>
    </row>
    <row r="304" spans="1:16">
      <c r="A304" s="474"/>
      <c r="B304" s="474"/>
      <c r="C304" s="474"/>
      <c r="D304" s="474"/>
      <c r="E304" s="474"/>
      <c r="F304" s="474"/>
      <c r="G304" s="474"/>
      <c r="H304" s="474"/>
      <c r="I304" s="474"/>
      <c r="J304" s="474"/>
      <c r="K304" s="474"/>
      <c r="L304" s="474"/>
      <c r="M304" s="474"/>
      <c r="N304" s="474"/>
      <c r="O304" s="474"/>
      <c r="P304" s="474"/>
    </row>
    <row r="305" spans="1:16">
      <c r="A305" s="474"/>
      <c r="B305" s="474"/>
      <c r="C305" s="474"/>
      <c r="D305" s="474"/>
      <c r="E305" s="474"/>
      <c r="F305" s="474"/>
      <c r="G305" s="474"/>
      <c r="H305" s="474"/>
      <c r="I305" s="474"/>
      <c r="J305" s="474"/>
      <c r="K305" s="474"/>
      <c r="L305" s="474"/>
      <c r="M305" s="474"/>
      <c r="N305" s="474"/>
      <c r="O305" s="474"/>
      <c r="P305" s="474"/>
    </row>
    <row r="306" spans="1:16">
      <c r="A306" s="474"/>
      <c r="B306" s="474"/>
      <c r="C306" s="474"/>
      <c r="D306" s="474"/>
      <c r="E306" s="474"/>
      <c r="F306" s="474"/>
      <c r="G306" s="474"/>
      <c r="H306" s="474"/>
      <c r="I306" s="474"/>
      <c r="J306" s="474"/>
      <c r="K306" s="474"/>
      <c r="L306" s="474"/>
      <c r="M306" s="474"/>
      <c r="N306" s="474"/>
      <c r="O306" s="474"/>
      <c r="P306" s="474"/>
    </row>
    <row r="307" spans="1:16">
      <c r="A307" s="474"/>
      <c r="B307" s="474"/>
      <c r="C307" s="474"/>
      <c r="D307" s="474"/>
      <c r="E307" s="474"/>
      <c r="F307" s="474"/>
      <c r="G307" s="474"/>
      <c r="H307" s="474"/>
      <c r="I307" s="474"/>
      <c r="J307" s="474"/>
      <c r="K307" s="474"/>
      <c r="L307" s="474"/>
      <c r="M307" s="474"/>
      <c r="N307" s="474"/>
      <c r="O307" s="474"/>
      <c r="P307" s="474"/>
    </row>
    <row r="308" spans="1:16">
      <c r="A308" s="474"/>
      <c r="B308" s="474"/>
      <c r="C308" s="474"/>
      <c r="D308" s="474"/>
      <c r="E308" s="474"/>
      <c r="F308" s="474"/>
      <c r="G308" s="474"/>
      <c r="H308" s="474"/>
      <c r="I308" s="474"/>
      <c r="J308" s="474"/>
      <c r="K308" s="474"/>
      <c r="L308" s="474"/>
      <c r="M308" s="474"/>
      <c r="N308" s="474"/>
      <c r="O308" s="474"/>
      <c r="P308" s="474"/>
    </row>
    <row r="309" spans="1:16">
      <c r="A309" s="474"/>
      <c r="B309" s="474"/>
      <c r="C309" s="474"/>
      <c r="D309" s="474"/>
      <c r="E309" s="474"/>
      <c r="F309" s="474"/>
      <c r="G309" s="474"/>
      <c r="H309" s="474"/>
      <c r="I309" s="474"/>
      <c r="J309" s="474"/>
      <c r="K309" s="474"/>
      <c r="L309" s="474"/>
      <c r="M309" s="474"/>
      <c r="N309" s="474"/>
      <c r="O309" s="474"/>
      <c r="P309" s="474"/>
    </row>
    <row r="310" spans="1:16">
      <c r="A310" s="474"/>
      <c r="B310" s="474"/>
      <c r="C310" s="474"/>
      <c r="D310" s="474"/>
      <c r="E310" s="474"/>
      <c r="F310" s="474"/>
      <c r="G310" s="474"/>
      <c r="H310" s="474"/>
      <c r="I310" s="474"/>
      <c r="J310" s="474"/>
      <c r="K310" s="474"/>
      <c r="L310" s="474"/>
      <c r="M310" s="474"/>
      <c r="N310" s="474"/>
      <c r="O310" s="474"/>
      <c r="P310" s="474"/>
    </row>
    <row r="311" spans="1:16">
      <c r="A311" s="474"/>
      <c r="B311" s="474"/>
      <c r="C311" s="474"/>
      <c r="D311" s="474"/>
      <c r="E311" s="474"/>
      <c r="F311" s="474"/>
      <c r="G311" s="474"/>
      <c r="H311" s="474"/>
      <c r="I311" s="474"/>
      <c r="J311" s="474"/>
      <c r="K311" s="474"/>
      <c r="L311" s="474"/>
      <c r="M311" s="474"/>
      <c r="N311" s="474"/>
      <c r="O311" s="474"/>
      <c r="P311" s="474"/>
    </row>
    <row r="312" spans="1:16">
      <c r="A312" s="474"/>
      <c r="B312" s="474"/>
      <c r="C312" s="474"/>
      <c r="D312" s="474"/>
      <c r="E312" s="474"/>
      <c r="F312" s="474"/>
      <c r="G312" s="474"/>
      <c r="H312" s="474"/>
      <c r="I312" s="474"/>
      <c r="J312" s="474"/>
      <c r="K312" s="474"/>
      <c r="L312" s="474"/>
      <c r="M312" s="474"/>
      <c r="N312" s="474"/>
      <c r="O312" s="474"/>
      <c r="P312" s="474"/>
    </row>
    <row r="313" spans="1:16">
      <c r="A313" s="474"/>
      <c r="B313" s="474"/>
      <c r="C313" s="474"/>
      <c r="D313" s="474"/>
      <c r="E313" s="474"/>
      <c r="F313" s="474"/>
      <c r="G313" s="474"/>
      <c r="H313" s="474"/>
      <c r="I313" s="474"/>
      <c r="J313" s="474"/>
      <c r="K313" s="474"/>
      <c r="L313" s="474"/>
      <c r="M313" s="474"/>
      <c r="N313" s="474"/>
      <c r="O313" s="474"/>
      <c r="P313" s="474"/>
    </row>
    <row r="314" spans="1:16">
      <c r="A314" s="474"/>
      <c r="B314" s="474"/>
      <c r="C314" s="474"/>
      <c r="D314" s="474"/>
      <c r="E314" s="474"/>
      <c r="F314" s="474"/>
      <c r="G314" s="474"/>
      <c r="H314" s="474"/>
      <c r="I314" s="474"/>
      <c r="J314" s="474"/>
      <c r="K314" s="474"/>
      <c r="L314" s="474"/>
      <c r="M314" s="474"/>
      <c r="N314" s="474"/>
      <c r="O314" s="474"/>
      <c r="P314" s="474"/>
    </row>
    <row r="315" spans="1:16">
      <c r="A315" s="474"/>
      <c r="B315" s="474"/>
      <c r="C315" s="474"/>
      <c r="D315" s="474"/>
      <c r="E315" s="474"/>
      <c r="F315" s="474"/>
      <c r="G315" s="474"/>
      <c r="H315" s="474"/>
      <c r="I315" s="474"/>
      <c r="J315" s="474"/>
      <c r="K315" s="474"/>
      <c r="L315" s="474"/>
      <c r="M315" s="474"/>
      <c r="N315" s="474"/>
      <c r="O315" s="474"/>
      <c r="P315" s="474"/>
    </row>
    <row r="316" spans="1:16">
      <c r="A316" s="474"/>
      <c r="B316" s="474"/>
      <c r="C316" s="474"/>
      <c r="D316" s="474"/>
      <c r="E316" s="474"/>
      <c r="F316" s="474"/>
      <c r="G316" s="474"/>
      <c r="H316" s="474"/>
      <c r="I316" s="474"/>
      <c r="J316" s="474"/>
      <c r="K316" s="474"/>
      <c r="L316" s="474"/>
      <c r="M316" s="474"/>
      <c r="N316" s="474"/>
      <c r="O316" s="474"/>
      <c r="P316" s="474"/>
    </row>
    <row r="317" spans="1:16">
      <c r="A317" s="474"/>
      <c r="B317" s="474"/>
      <c r="C317" s="474"/>
      <c r="D317" s="474"/>
      <c r="E317" s="474"/>
      <c r="F317" s="474"/>
      <c r="G317" s="474"/>
      <c r="H317" s="474"/>
      <c r="I317" s="474"/>
      <c r="J317" s="474"/>
      <c r="K317" s="474"/>
      <c r="L317" s="474"/>
      <c r="M317" s="474"/>
      <c r="N317" s="474"/>
      <c r="O317" s="474"/>
      <c r="P317" s="474"/>
    </row>
    <row r="318" spans="1:16">
      <c r="A318" s="474"/>
      <c r="B318" s="474"/>
      <c r="C318" s="474"/>
      <c r="D318" s="474"/>
      <c r="E318" s="474"/>
      <c r="F318" s="474"/>
      <c r="G318" s="474"/>
      <c r="H318" s="474"/>
      <c r="I318" s="474"/>
      <c r="J318" s="474"/>
      <c r="K318" s="474"/>
      <c r="L318" s="474"/>
      <c r="M318" s="474"/>
      <c r="N318" s="474"/>
      <c r="O318" s="474"/>
      <c r="P318" s="474"/>
    </row>
    <row r="319" spans="1:16">
      <c r="A319" s="474"/>
      <c r="B319" s="474"/>
      <c r="C319" s="474"/>
      <c r="D319" s="474"/>
      <c r="E319" s="474"/>
      <c r="F319" s="474"/>
      <c r="G319" s="474"/>
      <c r="H319" s="474"/>
      <c r="I319" s="474"/>
      <c r="J319" s="474"/>
      <c r="K319" s="474"/>
      <c r="L319" s="474"/>
      <c r="M319" s="474"/>
      <c r="N319" s="474"/>
      <c r="O319" s="474"/>
      <c r="P319" s="474"/>
    </row>
    <row r="320" spans="1:16">
      <c r="A320" s="474"/>
      <c r="B320" s="474"/>
      <c r="C320" s="474"/>
      <c r="D320" s="474"/>
      <c r="E320" s="474"/>
      <c r="F320" s="474"/>
      <c r="G320" s="474"/>
      <c r="H320" s="474"/>
      <c r="I320" s="474"/>
      <c r="J320" s="474"/>
      <c r="K320" s="474"/>
      <c r="L320" s="474"/>
      <c r="M320" s="474"/>
      <c r="N320" s="474"/>
      <c r="O320" s="474"/>
      <c r="P320" s="474"/>
    </row>
    <row r="321" spans="1:16">
      <c r="A321" s="474"/>
      <c r="B321" s="474"/>
      <c r="C321" s="474"/>
      <c r="D321" s="474"/>
      <c r="E321" s="474"/>
      <c r="F321" s="474"/>
      <c r="G321" s="474"/>
      <c r="H321" s="474"/>
      <c r="I321" s="474"/>
      <c r="J321" s="474"/>
      <c r="K321" s="474"/>
      <c r="L321" s="474"/>
      <c r="M321" s="474"/>
      <c r="N321" s="474"/>
      <c r="O321" s="474"/>
      <c r="P321" s="474"/>
    </row>
    <row r="322" spans="1:16">
      <c r="A322" s="474"/>
      <c r="B322" s="474"/>
      <c r="C322" s="474"/>
      <c r="D322" s="474"/>
      <c r="E322" s="474"/>
      <c r="F322" s="474"/>
      <c r="G322" s="474"/>
      <c r="H322" s="474"/>
      <c r="I322" s="474"/>
      <c r="J322" s="474"/>
      <c r="K322" s="474"/>
      <c r="L322" s="474"/>
      <c r="M322" s="474"/>
      <c r="N322" s="474"/>
      <c r="O322" s="474"/>
      <c r="P322" s="474"/>
    </row>
    <row r="323" spans="1:16">
      <c r="A323" s="474"/>
      <c r="B323" s="474"/>
      <c r="C323" s="474"/>
      <c r="D323" s="474"/>
      <c r="E323" s="474"/>
      <c r="F323" s="474"/>
      <c r="G323" s="474"/>
      <c r="H323" s="474"/>
      <c r="I323" s="474"/>
      <c r="J323" s="474"/>
      <c r="K323" s="474"/>
      <c r="L323" s="474"/>
      <c r="M323" s="474"/>
      <c r="N323" s="474"/>
      <c r="O323" s="474"/>
      <c r="P323" s="474"/>
    </row>
    <row r="324" spans="1:16">
      <c r="A324" s="474"/>
      <c r="B324" s="474"/>
      <c r="C324" s="474"/>
      <c r="D324" s="474"/>
      <c r="E324" s="474"/>
      <c r="F324" s="474"/>
      <c r="G324" s="474"/>
      <c r="H324" s="474"/>
      <c r="I324" s="474"/>
      <c r="J324" s="474"/>
      <c r="K324" s="474"/>
      <c r="L324" s="474"/>
      <c r="M324" s="474"/>
      <c r="N324" s="474"/>
      <c r="O324" s="474"/>
      <c r="P324" s="474"/>
    </row>
    <row r="325" spans="1:16">
      <c r="A325" s="474"/>
      <c r="B325" s="474"/>
      <c r="C325" s="474"/>
      <c r="D325" s="474"/>
      <c r="E325" s="474"/>
      <c r="F325" s="474"/>
      <c r="G325" s="474"/>
      <c r="H325" s="474"/>
      <c r="I325" s="474"/>
      <c r="J325" s="474"/>
      <c r="K325" s="474"/>
      <c r="L325" s="474"/>
      <c r="M325" s="474"/>
      <c r="N325" s="474"/>
      <c r="O325" s="474"/>
      <c r="P325" s="474"/>
    </row>
    <row r="326" spans="1:16">
      <c r="A326" s="474"/>
      <c r="B326" s="474"/>
      <c r="C326" s="474"/>
      <c r="D326" s="474"/>
      <c r="E326" s="474"/>
      <c r="F326" s="474"/>
      <c r="G326" s="474"/>
      <c r="H326" s="474"/>
      <c r="I326" s="474"/>
      <c r="J326" s="474"/>
      <c r="K326" s="474"/>
      <c r="L326" s="474"/>
      <c r="M326" s="474"/>
      <c r="N326" s="474"/>
      <c r="O326" s="474"/>
      <c r="P326" s="474"/>
    </row>
    <row r="327" spans="1:16">
      <c r="A327" s="474"/>
      <c r="B327" s="474"/>
      <c r="C327" s="474"/>
      <c r="D327" s="474"/>
      <c r="E327" s="474"/>
      <c r="F327" s="474"/>
      <c r="G327" s="474"/>
      <c r="H327" s="474"/>
      <c r="I327" s="474"/>
      <c r="J327" s="474"/>
      <c r="K327" s="474"/>
      <c r="L327" s="474"/>
      <c r="M327" s="474"/>
      <c r="N327" s="474"/>
      <c r="O327" s="474"/>
      <c r="P327" s="474"/>
    </row>
    <row r="328" spans="1:16">
      <c r="A328" s="474"/>
      <c r="B328" s="474"/>
      <c r="C328" s="474"/>
      <c r="D328" s="474"/>
      <c r="E328" s="474"/>
      <c r="F328" s="474"/>
      <c r="G328" s="474"/>
      <c r="H328" s="474"/>
      <c r="I328" s="474"/>
      <c r="J328" s="474"/>
      <c r="K328" s="474"/>
      <c r="L328" s="474"/>
      <c r="M328" s="474"/>
      <c r="N328" s="474"/>
      <c r="O328" s="474"/>
      <c r="P328" s="474"/>
    </row>
    <row r="329" spans="1:16">
      <c r="A329" s="474"/>
      <c r="B329" s="474"/>
      <c r="C329" s="474"/>
      <c r="D329" s="474"/>
      <c r="E329" s="474"/>
      <c r="F329" s="474"/>
      <c r="G329" s="474"/>
      <c r="H329" s="474"/>
      <c r="I329" s="474"/>
      <c r="J329" s="474"/>
      <c r="K329" s="474"/>
      <c r="L329" s="474"/>
      <c r="M329" s="474"/>
      <c r="N329" s="474"/>
      <c r="O329" s="474"/>
      <c r="P329" s="474"/>
    </row>
    <row r="330" spans="1:16">
      <c r="A330" s="474"/>
      <c r="B330" s="474"/>
      <c r="C330" s="474"/>
      <c r="D330" s="474"/>
      <c r="E330" s="474"/>
      <c r="F330" s="474"/>
      <c r="G330" s="474"/>
      <c r="H330" s="474"/>
      <c r="I330" s="474"/>
      <c r="J330" s="474"/>
      <c r="K330" s="474"/>
      <c r="L330" s="474"/>
      <c r="M330" s="474"/>
      <c r="N330" s="474"/>
      <c r="O330" s="474"/>
      <c r="P330" s="474"/>
    </row>
    <row r="331" spans="1:16">
      <c r="A331" s="474"/>
      <c r="B331" s="474"/>
      <c r="C331" s="474"/>
      <c r="D331" s="474"/>
      <c r="E331" s="474"/>
      <c r="F331" s="474"/>
      <c r="G331" s="474"/>
      <c r="H331" s="474"/>
      <c r="I331" s="474"/>
      <c r="J331" s="474"/>
      <c r="K331" s="474"/>
      <c r="L331" s="474"/>
      <c r="M331" s="474"/>
      <c r="N331" s="474"/>
      <c r="O331" s="474"/>
      <c r="P331" s="474"/>
    </row>
    <row r="332" spans="1:16">
      <c r="A332" s="474"/>
      <c r="B332" s="474"/>
      <c r="C332" s="474"/>
      <c r="D332" s="474"/>
      <c r="E332" s="474"/>
      <c r="F332" s="474"/>
      <c r="G332" s="474"/>
      <c r="H332" s="474"/>
      <c r="I332" s="474"/>
      <c r="J332" s="474"/>
      <c r="K332" s="474"/>
      <c r="L332" s="474"/>
      <c r="M332" s="474"/>
      <c r="N332" s="474"/>
      <c r="O332" s="474"/>
      <c r="P332" s="474"/>
    </row>
    <row r="333" spans="1:16">
      <c r="A333" s="474"/>
      <c r="B333" s="474"/>
      <c r="C333" s="474"/>
      <c r="D333" s="474"/>
      <c r="E333" s="474"/>
      <c r="F333" s="474"/>
      <c r="G333" s="474"/>
      <c r="H333" s="474"/>
      <c r="I333" s="474"/>
      <c r="J333" s="474"/>
      <c r="K333" s="474"/>
      <c r="L333" s="474"/>
      <c r="M333" s="474"/>
      <c r="N333" s="474"/>
      <c r="O333" s="474"/>
      <c r="P333" s="474"/>
    </row>
    <row r="334" spans="1:16">
      <c r="A334" s="474"/>
      <c r="B334" s="474"/>
      <c r="C334" s="474"/>
      <c r="D334" s="474"/>
      <c r="E334" s="474"/>
      <c r="F334" s="474"/>
      <c r="G334" s="474"/>
      <c r="H334" s="474"/>
      <c r="I334" s="474"/>
      <c r="J334" s="474"/>
      <c r="K334" s="474"/>
      <c r="L334" s="474"/>
      <c r="M334" s="474"/>
      <c r="N334" s="474"/>
      <c r="O334" s="474"/>
      <c r="P334" s="474"/>
    </row>
    <row r="335" spans="1:16">
      <c r="A335" s="474"/>
      <c r="B335" s="474"/>
      <c r="C335" s="474"/>
      <c r="D335" s="474"/>
      <c r="E335" s="474"/>
      <c r="F335" s="474"/>
      <c r="G335" s="474"/>
      <c r="H335" s="474"/>
      <c r="I335" s="474"/>
      <c r="J335" s="474"/>
      <c r="K335" s="474"/>
      <c r="L335" s="474"/>
      <c r="M335" s="474"/>
      <c r="N335" s="474"/>
      <c r="O335" s="474"/>
      <c r="P335" s="474"/>
    </row>
    <row r="336" spans="1:16">
      <c r="A336" s="474"/>
      <c r="B336" s="474"/>
      <c r="C336" s="474"/>
      <c r="D336" s="474"/>
      <c r="E336" s="474"/>
      <c r="F336" s="474"/>
      <c r="G336" s="474"/>
      <c r="H336" s="474"/>
      <c r="I336" s="474"/>
      <c r="J336" s="474"/>
      <c r="K336" s="474"/>
      <c r="L336" s="474"/>
      <c r="M336" s="474"/>
      <c r="N336" s="474"/>
      <c r="O336" s="474"/>
      <c r="P336" s="474"/>
    </row>
    <row r="337" spans="1:16">
      <c r="A337" s="474"/>
      <c r="B337" s="474"/>
      <c r="C337" s="474"/>
      <c r="D337" s="474"/>
      <c r="E337" s="474"/>
      <c r="F337" s="474"/>
      <c r="G337" s="474"/>
      <c r="H337" s="474"/>
      <c r="I337" s="474"/>
      <c r="J337" s="474"/>
      <c r="K337" s="474"/>
      <c r="L337" s="474"/>
      <c r="M337" s="474"/>
      <c r="N337" s="474"/>
      <c r="O337" s="474"/>
      <c r="P337" s="474"/>
    </row>
    <row r="338" spans="1:16">
      <c r="A338" s="474"/>
      <c r="B338" s="474"/>
      <c r="C338" s="474"/>
      <c r="D338" s="474"/>
      <c r="E338" s="474"/>
      <c r="F338" s="474"/>
      <c r="G338" s="474"/>
      <c r="H338" s="474"/>
      <c r="I338" s="474"/>
      <c r="J338" s="474"/>
      <c r="K338" s="474"/>
      <c r="L338" s="474"/>
      <c r="M338" s="474"/>
      <c r="N338" s="474"/>
      <c r="O338" s="474"/>
      <c r="P338" s="474"/>
    </row>
    <row r="339" spans="1:16">
      <c r="A339" s="474"/>
      <c r="B339" s="474"/>
      <c r="C339" s="474"/>
      <c r="D339" s="474"/>
      <c r="E339" s="474"/>
      <c r="F339" s="474"/>
      <c r="G339" s="474"/>
      <c r="H339" s="474"/>
      <c r="I339" s="474"/>
      <c r="J339" s="474"/>
      <c r="K339" s="474"/>
      <c r="L339" s="474"/>
      <c r="M339" s="474"/>
      <c r="N339" s="474"/>
      <c r="O339" s="474"/>
      <c r="P339" s="474"/>
    </row>
    <row r="340" spans="1:16">
      <c r="A340" s="474"/>
      <c r="B340" s="474"/>
      <c r="C340" s="474"/>
      <c r="D340" s="474"/>
      <c r="E340" s="474"/>
      <c r="F340" s="474"/>
      <c r="G340" s="474"/>
      <c r="H340" s="474"/>
      <c r="I340" s="474"/>
      <c r="J340" s="474"/>
      <c r="K340" s="474"/>
      <c r="L340" s="474"/>
      <c r="M340" s="474"/>
      <c r="N340" s="474"/>
      <c r="O340" s="474"/>
      <c r="P340" s="474"/>
    </row>
    <row r="341" spans="1:16">
      <c r="A341" s="474"/>
      <c r="B341" s="474"/>
      <c r="C341" s="474"/>
      <c r="D341" s="474"/>
      <c r="E341" s="474"/>
      <c r="F341" s="474"/>
      <c r="G341" s="474"/>
      <c r="H341" s="474"/>
      <c r="I341" s="474"/>
      <c r="J341" s="474"/>
      <c r="K341" s="474"/>
      <c r="L341" s="474"/>
      <c r="M341" s="474"/>
      <c r="N341" s="474"/>
      <c r="O341" s="474"/>
      <c r="P341" s="474"/>
    </row>
    <row r="342" spans="1:16">
      <c r="A342" s="474"/>
      <c r="B342" s="474"/>
      <c r="C342" s="474"/>
      <c r="D342" s="474"/>
      <c r="E342" s="474"/>
      <c r="F342" s="474"/>
      <c r="G342" s="474"/>
      <c r="H342" s="474"/>
      <c r="I342" s="474"/>
      <c r="J342" s="474"/>
      <c r="K342" s="474"/>
      <c r="L342" s="474"/>
      <c r="M342" s="474"/>
      <c r="N342" s="474"/>
      <c r="O342" s="474"/>
      <c r="P342" s="474"/>
    </row>
    <row r="343" spans="1:16">
      <c r="A343" s="474"/>
      <c r="B343" s="474"/>
      <c r="C343" s="474"/>
      <c r="D343" s="474"/>
      <c r="E343" s="474"/>
      <c r="F343" s="474"/>
      <c r="G343" s="474"/>
      <c r="H343" s="474"/>
      <c r="I343" s="474"/>
      <c r="J343" s="474"/>
      <c r="K343" s="474"/>
      <c r="L343" s="474"/>
      <c r="M343" s="474"/>
      <c r="N343" s="474"/>
      <c r="O343" s="474"/>
      <c r="P343" s="474"/>
    </row>
    <row r="344" spans="1:16">
      <c r="A344" s="474"/>
      <c r="B344" s="474"/>
      <c r="C344" s="474"/>
      <c r="D344" s="474"/>
      <c r="E344" s="474"/>
      <c r="F344" s="474"/>
      <c r="G344" s="474"/>
      <c r="H344" s="474"/>
      <c r="I344" s="474"/>
      <c r="J344" s="474"/>
      <c r="K344" s="474"/>
      <c r="L344" s="474"/>
      <c r="M344" s="474"/>
      <c r="N344" s="474"/>
      <c r="O344" s="474"/>
      <c r="P344" s="474"/>
    </row>
    <row r="345" spans="1:16">
      <c r="A345" s="474"/>
      <c r="B345" s="474"/>
      <c r="C345" s="474"/>
      <c r="D345" s="474"/>
      <c r="E345" s="474"/>
      <c r="F345" s="474"/>
      <c r="G345" s="474"/>
      <c r="H345" s="474"/>
      <c r="I345" s="474"/>
      <c r="J345" s="474"/>
      <c r="K345" s="474"/>
      <c r="L345" s="474"/>
      <c r="M345" s="474"/>
      <c r="N345" s="474"/>
      <c r="O345" s="474"/>
      <c r="P345" s="474"/>
    </row>
    <row r="346" spans="1:16">
      <c r="A346" s="474"/>
      <c r="B346" s="474"/>
      <c r="C346" s="474"/>
      <c r="D346" s="474"/>
      <c r="E346" s="474"/>
      <c r="F346" s="474"/>
      <c r="G346" s="474"/>
      <c r="H346" s="474"/>
      <c r="I346" s="474"/>
      <c r="J346" s="474"/>
      <c r="K346" s="474"/>
      <c r="L346" s="474"/>
      <c r="M346" s="474"/>
      <c r="N346" s="474"/>
      <c r="O346" s="474"/>
      <c r="P346" s="474"/>
    </row>
    <row r="347" spans="1:16">
      <c r="A347" s="474"/>
      <c r="B347" s="474"/>
      <c r="C347" s="474"/>
      <c r="D347" s="474"/>
      <c r="E347" s="474"/>
      <c r="F347" s="474"/>
      <c r="G347" s="474"/>
      <c r="H347" s="474"/>
      <c r="I347" s="474"/>
      <c r="J347" s="474"/>
      <c r="K347" s="474"/>
      <c r="L347" s="474"/>
      <c r="M347" s="474"/>
      <c r="N347" s="474"/>
      <c r="O347" s="474"/>
      <c r="P347" s="474"/>
    </row>
    <row r="348" spans="1:16">
      <c r="A348" s="474"/>
      <c r="B348" s="474"/>
      <c r="C348" s="474"/>
      <c r="D348" s="474"/>
      <c r="E348" s="474"/>
      <c r="F348" s="474"/>
      <c r="G348" s="474"/>
      <c r="H348" s="474"/>
      <c r="I348" s="474"/>
      <c r="J348" s="474"/>
      <c r="K348" s="474"/>
      <c r="L348" s="474"/>
      <c r="M348" s="474"/>
      <c r="N348" s="474"/>
      <c r="O348" s="474"/>
      <c r="P348" s="474"/>
    </row>
    <row r="349" spans="1:16">
      <c r="A349" s="474"/>
      <c r="B349" s="474"/>
      <c r="C349" s="474"/>
      <c r="D349" s="474"/>
      <c r="E349" s="474"/>
      <c r="F349" s="474"/>
      <c r="G349" s="474"/>
      <c r="H349" s="474"/>
      <c r="I349" s="474"/>
      <c r="J349" s="474"/>
      <c r="K349" s="474"/>
      <c r="L349" s="474"/>
      <c r="M349" s="474"/>
      <c r="N349" s="474"/>
      <c r="O349" s="474"/>
      <c r="P349" s="474"/>
    </row>
    <row r="350" spans="1:16">
      <c r="A350" s="474"/>
      <c r="B350" s="474"/>
      <c r="C350" s="474"/>
      <c r="D350" s="474"/>
      <c r="E350" s="474"/>
      <c r="F350" s="474"/>
      <c r="G350" s="474"/>
      <c r="H350" s="474"/>
      <c r="I350" s="474"/>
      <c r="J350" s="474"/>
      <c r="K350" s="474"/>
      <c r="L350" s="474"/>
      <c r="M350" s="474"/>
      <c r="N350" s="474"/>
      <c r="O350" s="474"/>
      <c r="P350" s="474"/>
    </row>
    <row r="351" spans="1:16">
      <c r="A351" s="474"/>
      <c r="B351" s="474"/>
      <c r="C351" s="474"/>
      <c r="D351" s="474"/>
      <c r="E351" s="474"/>
      <c r="F351" s="474"/>
      <c r="G351" s="474"/>
      <c r="H351" s="474"/>
      <c r="I351" s="474"/>
      <c r="J351" s="474"/>
      <c r="K351" s="474"/>
      <c r="L351" s="474"/>
      <c r="M351" s="474"/>
      <c r="N351" s="474"/>
      <c r="O351" s="474"/>
      <c r="P351" s="474"/>
    </row>
    <row r="352" spans="1:16">
      <c r="A352" s="474"/>
      <c r="B352" s="474"/>
      <c r="C352" s="474"/>
      <c r="D352" s="474"/>
      <c r="E352" s="474"/>
      <c r="F352" s="474"/>
      <c r="G352" s="474"/>
      <c r="H352" s="474"/>
      <c r="I352" s="474"/>
      <c r="J352" s="474"/>
      <c r="K352" s="474"/>
      <c r="L352" s="474"/>
      <c r="M352" s="474"/>
      <c r="N352" s="474"/>
      <c r="O352" s="474"/>
      <c r="P352" s="474"/>
    </row>
    <row r="353" spans="1:16">
      <c r="A353" s="474"/>
      <c r="B353" s="474"/>
      <c r="C353" s="474"/>
      <c r="D353" s="474"/>
      <c r="E353" s="474"/>
      <c r="F353" s="474"/>
      <c r="G353" s="474"/>
      <c r="H353" s="474"/>
      <c r="I353" s="474"/>
      <c r="J353" s="474"/>
      <c r="K353" s="474"/>
      <c r="L353" s="474"/>
      <c r="M353" s="474"/>
      <c r="N353" s="474"/>
      <c r="O353" s="474"/>
      <c r="P353" s="474"/>
    </row>
    <row r="354" spans="1:16">
      <c r="A354" s="474"/>
      <c r="B354" s="474"/>
      <c r="C354" s="474"/>
      <c r="D354" s="474"/>
      <c r="E354" s="474"/>
      <c r="F354" s="474"/>
      <c r="G354" s="474"/>
      <c r="H354" s="474"/>
      <c r="I354" s="474"/>
      <c r="J354" s="474"/>
      <c r="K354" s="474"/>
      <c r="L354" s="474"/>
      <c r="M354" s="474"/>
      <c r="N354" s="474"/>
      <c r="O354" s="474"/>
      <c r="P354" s="474"/>
    </row>
    <row r="355" spans="1:16">
      <c r="A355" s="474"/>
      <c r="B355" s="474"/>
      <c r="C355" s="474"/>
      <c r="D355" s="474"/>
      <c r="E355" s="474"/>
      <c r="F355" s="474"/>
      <c r="G355" s="474"/>
      <c r="H355" s="474"/>
      <c r="I355" s="474"/>
      <c r="J355" s="474"/>
      <c r="K355" s="474"/>
      <c r="L355" s="474"/>
      <c r="M355" s="474"/>
      <c r="N355" s="474"/>
      <c r="O355" s="474"/>
      <c r="P355" s="474"/>
    </row>
    <row r="356" spans="1:16">
      <c r="A356" s="474"/>
      <c r="B356" s="474"/>
      <c r="C356" s="474"/>
      <c r="D356" s="474"/>
      <c r="E356" s="474"/>
      <c r="F356" s="474"/>
      <c r="G356" s="474"/>
      <c r="H356" s="474"/>
      <c r="I356" s="474"/>
      <c r="J356" s="474"/>
      <c r="K356" s="474"/>
      <c r="L356" s="474"/>
      <c r="M356" s="474"/>
      <c r="N356" s="474"/>
      <c r="O356" s="474"/>
      <c r="P356" s="474"/>
    </row>
    <row r="357" spans="1:16">
      <c r="A357" s="474"/>
      <c r="B357" s="474"/>
      <c r="C357" s="474"/>
      <c r="D357" s="474"/>
      <c r="E357" s="474"/>
      <c r="F357" s="474"/>
      <c r="G357" s="474"/>
      <c r="H357" s="474"/>
      <c r="I357" s="474"/>
      <c r="J357" s="474"/>
      <c r="K357" s="474"/>
      <c r="L357" s="474"/>
      <c r="M357" s="474"/>
      <c r="N357" s="474"/>
      <c r="O357" s="474"/>
      <c r="P357" s="474"/>
    </row>
    <row r="358" spans="1:16">
      <c r="A358" s="474"/>
      <c r="B358" s="474"/>
      <c r="C358" s="474"/>
      <c r="D358" s="474"/>
      <c r="E358" s="474"/>
      <c r="F358" s="474"/>
      <c r="G358" s="474"/>
      <c r="H358" s="474"/>
      <c r="I358" s="474"/>
      <c r="J358" s="474"/>
      <c r="K358" s="474"/>
      <c r="L358" s="474"/>
      <c r="M358" s="474"/>
      <c r="N358" s="474"/>
      <c r="O358" s="474"/>
      <c r="P358" s="474"/>
    </row>
    <row r="359" spans="1:16">
      <c r="A359" s="474"/>
      <c r="B359" s="474"/>
      <c r="C359" s="474"/>
      <c r="D359" s="474"/>
      <c r="E359" s="474"/>
      <c r="F359" s="474"/>
      <c r="G359" s="474"/>
      <c r="H359" s="474"/>
      <c r="I359" s="474"/>
      <c r="J359" s="474"/>
      <c r="K359" s="474"/>
      <c r="L359" s="474"/>
      <c r="M359" s="474"/>
      <c r="N359" s="474"/>
      <c r="O359" s="474"/>
      <c r="P359" s="474"/>
    </row>
    <row r="360" spans="1:16">
      <c r="A360" s="474"/>
      <c r="B360" s="474"/>
      <c r="C360" s="474"/>
      <c r="D360" s="474"/>
      <c r="E360" s="474"/>
      <c r="F360" s="474"/>
      <c r="G360" s="474"/>
      <c r="H360" s="474"/>
      <c r="I360" s="474"/>
      <c r="J360" s="474"/>
      <c r="K360" s="474"/>
      <c r="L360" s="474"/>
      <c r="M360" s="474"/>
      <c r="N360" s="474"/>
      <c r="O360" s="474"/>
      <c r="P360" s="474"/>
    </row>
    <row r="361" spans="1:16">
      <c r="A361" s="474"/>
      <c r="B361" s="474"/>
      <c r="C361" s="474"/>
      <c r="D361" s="474"/>
      <c r="E361" s="474"/>
      <c r="F361" s="474"/>
      <c r="G361" s="474"/>
      <c r="H361" s="474"/>
      <c r="I361" s="474"/>
      <c r="J361" s="474"/>
      <c r="K361" s="474"/>
    </row>
  </sheetData>
  <sheetProtection password="8CE6" sheet="1" objects="1" scenarios="1"/>
  <protectedRanges>
    <protectedRange password="DD08" sqref="A88:D96" name="Seed Costs_1"/>
    <protectedRange password="DD08" sqref="A100:D101" name="Seed Costs_3"/>
    <protectedRange password="DD08" sqref="A102:D103" name="Seed Costs_4"/>
    <protectedRange password="8CE6" sqref="B106:B108" name="LockLaborIndirects_1"/>
  </protectedRanges>
  <mergeCells count="18">
    <mergeCell ref="A83:B83"/>
    <mergeCell ref="A3:K3"/>
    <mergeCell ref="B26:B27"/>
    <mergeCell ref="C26:C27"/>
    <mergeCell ref="D26:D27"/>
    <mergeCell ref="A79:B79"/>
    <mergeCell ref="A77:B77"/>
    <mergeCell ref="A78:B78"/>
    <mergeCell ref="A81:B81"/>
    <mergeCell ref="A63:B63"/>
    <mergeCell ref="A64:B64"/>
    <mergeCell ref="A70:B70"/>
    <mergeCell ref="A73:B73"/>
    <mergeCell ref="A75:B75"/>
    <mergeCell ref="B16:D16"/>
    <mergeCell ref="A1:L1"/>
    <mergeCell ref="F26:L26"/>
    <mergeCell ref="C6:E6"/>
  </mergeCells>
  <dataValidations disablePrompts="1" count="1">
    <dataValidation type="list" allowBlank="1" showInputMessage="1" showErrorMessage="1" prompt="Select equipment from list" sqref="A18:A22">
      <formula1>EquipmentOperatorClassificationsList</formula1>
    </dataValidation>
  </dataValidations>
  <pageMargins left="0.7" right="0.7" top="0.75" bottom="0.75" header="0.3" footer="0.3"/>
  <pageSetup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J53"/>
  <sheetViews>
    <sheetView workbookViewId="0">
      <selection activeCell="D1" sqref="D1"/>
    </sheetView>
  </sheetViews>
  <sheetFormatPr defaultRowHeight="15"/>
  <cols>
    <col min="1" max="1" width="3.7109375" customWidth="1"/>
    <col min="2" max="2" width="32" customWidth="1"/>
    <col min="4" max="4" width="13.85546875" customWidth="1"/>
  </cols>
  <sheetData>
    <row r="1" spans="1:10">
      <c r="A1" s="364" t="s">
        <v>306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>
      <c r="A2" s="364"/>
      <c r="B2" s="364"/>
      <c r="C2" s="364"/>
      <c r="D2" s="364"/>
      <c r="E2" s="364"/>
      <c r="F2" s="364"/>
      <c r="G2" s="364"/>
      <c r="H2" s="364"/>
      <c r="I2" s="364"/>
      <c r="J2" s="364"/>
    </row>
    <row r="3" spans="1:10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spans="1:10">
      <c r="A4" s="364" t="s">
        <v>297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>
      <c r="A5" s="364">
        <v>1</v>
      </c>
      <c r="B5" s="364" t="s">
        <v>54</v>
      </c>
      <c r="C5" s="364" t="s">
        <v>351</v>
      </c>
      <c r="D5" s="364"/>
      <c r="E5" s="364"/>
      <c r="F5" s="364"/>
      <c r="G5" s="364"/>
      <c r="H5" s="364"/>
      <c r="I5" s="364"/>
      <c r="J5" s="364"/>
    </row>
    <row r="6" spans="1:10">
      <c r="A6" s="364">
        <v>2</v>
      </c>
      <c r="B6" s="364" t="s">
        <v>92</v>
      </c>
      <c r="C6" s="364" t="s">
        <v>345</v>
      </c>
      <c r="D6" s="364"/>
      <c r="E6" s="364"/>
      <c r="F6" s="364"/>
      <c r="G6" s="364"/>
      <c r="H6" s="364"/>
      <c r="I6" s="364"/>
      <c r="J6" s="364"/>
    </row>
    <row r="7" spans="1:10">
      <c r="A7" s="364">
        <v>3</v>
      </c>
      <c r="B7" s="364" t="s">
        <v>85</v>
      </c>
      <c r="C7" s="364" t="s">
        <v>346</v>
      </c>
      <c r="D7" s="364"/>
      <c r="E7" s="364"/>
      <c r="F7" s="364"/>
      <c r="G7" s="364"/>
      <c r="H7" s="364"/>
      <c r="I7" s="364"/>
      <c r="J7" s="364"/>
    </row>
    <row r="8" spans="1:10">
      <c r="A8" s="364">
        <v>4</v>
      </c>
      <c r="B8" s="364" t="s">
        <v>86</v>
      </c>
      <c r="C8" t="s">
        <v>344</v>
      </c>
      <c r="D8" s="364"/>
      <c r="E8" s="364"/>
      <c r="F8" s="364"/>
      <c r="G8" s="364"/>
      <c r="H8" s="364"/>
      <c r="I8" s="364"/>
      <c r="J8" s="364"/>
    </row>
    <row r="9" spans="1:10">
      <c r="A9" s="364">
        <v>5</v>
      </c>
      <c r="B9" s="364" t="s">
        <v>83</v>
      </c>
      <c r="C9" s="364" t="s">
        <v>626</v>
      </c>
      <c r="D9" s="364"/>
      <c r="E9" s="364"/>
      <c r="F9" s="364"/>
      <c r="G9" s="364"/>
      <c r="H9" s="364"/>
      <c r="I9" s="364"/>
      <c r="J9" s="364"/>
    </row>
    <row r="10" spans="1:10">
      <c r="A10" s="364">
        <v>6</v>
      </c>
      <c r="B10" s="364" t="s">
        <v>84</v>
      </c>
      <c r="C10" s="364" t="s">
        <v>342</v>
      </c>
      <c r="D10" s="364"/>
      <c r="E10" s="364"/>
      <c r="F10" s="364"/>
      <c r="G10" s="364"/>
      <c r="H10" s="364"/>
      <c r="I10" s="364"/>
      <c r="J10" s="364"/>
    </row>
    <row r="11" spans="1:10">
      <c r="A11" s="364">
        <v>7</v>
      </c>
      <c r="B11" s="364" t="s">
        <v>76</v>
      </c>
      <c r="C11" s="364" t="s">
        <v>347</v>
      </c>
      <c r="D11" s="364"/>
      <c r="E11" s="364"/>
      <c r="F11" s="364"/>
      <c r="G11" s="364"/>
      <c r="H11" s="364"/>
      <c r="I11" s="364"/>
      <c r="J11" s="364"/>
    </row>
    <row r="12" spans="1:10">
      <c r="A12" s="364">
        <v>8</v>
      </c>
      <c r="B12" s="364" t="s">
        <v>58</v>
      </c>
      <c r="C12" s="364" t="s">
        <v>343</v>
      </c>
      <c r="D12" s="364"/>
      <c r="E12" s="364"/>
      <c r="F12" s="364"/>
      <c r="G12" s="364"/>
      <c r="H12" s="364"/>
      <c r="I12" s="364"/>
      <c r="J12" s="364"/>
    </row>
    <row r="13" spans="1:10">
      <c r="A13" s="364">
        <v>9</v>
      </c>
      <c r="B13" s="364" t="s">
        <v>59</v>
      </c>
      <c r="C13" s="364" t="s">
        <v>348</v>
      </c>
      <c r="D13" s="364"/>
      <c r="E13" s="364"/>
      <c r="F13" s="364"/>
      <c r="G13" s="364"/>
      <c r="H13" s="364"/>
      <c r="I13" s="364"/>
      <c r="J13" s="364"/>
    </row>
    <row r="14" spans="1:10">
      <c r="A14" s="364">
        <v>10</v>
      </c>
      <c r="B14" s="364" t="s">
        <v>60</v>
      </c>
      <c r="C14" s="364" t="s">
        <v>352</v>
      </c>
      <c r="D14" s="364"/>
      <c r="E14" s="364"/>
      <c r="F14" s="364"/>
      <c r="G14" s="364"/>
      <c r="H14" s="364"/>
      <c r="I14" s="364"/>
      <c r="J14" s="364"/>
    </row>
    <row r="15" spans="1:10">
      <c r="A15" s="364">
        <v>11</v>
      </c>
      <c r="B15" s="364" t="s">
        <v>66</v>
      </c>
      <c r="C15" s="364" t="s">
        <v>353</v>
      </c>
      <c r="D15" s="364"/>
      <c r="E15" s="364"/>
      <c r="F15" s="364"/>
      <c r="G15" s="364"/>
      <c r="H15" s="364"/>
      <c r="I15" s="364"/>
      <c r="J15" s="364"/>
    </row>
    <row r="16" spans="1:10">
      <c r="A16" s="364">
        <v>12</v>
      </c>
      <c r="B16" s="364" t="s">
        <v>55</v>
      </c>
      <c r="C16" s="364" t="s">
        <v>619</v>
      </c>
      <c r="D16" s="364"/>
      <c r="E16" s="364"/>
      <c r="F16" s="364"/>
      <c r="G16" s="364"/>
      <c r="H16" s="364"/>
      <c r="I16" s="364"/>
      <c r="J16" s="364"/>
    </row>
    <row r="17" spans="1:10">
      <c r="A17" s="364">
        <v>13</v>
      </c>
      <c r="B17" s="364" t="s">
        <v>230</v>
      </c>
      <c r="C17" s="364" t="s">
        <v>618</v>
      </c>
      <c r="D17" s="364"/>
      <c r="E17" s="364"/>
      <c r="F17" s="364"/>
      <c r="G17" s="364"/>
      <c r="H17" s="364"/>
      <c r="I17" s="364"/>
      <c r="J17" s="364"/>
    </row>
    <row r="18" spans="1:10">
      <c r="A18" s="364">
        <v>14</v>
      </c>
      <c r="B18" s="364" t="s">
        <v>337</v>
      </c>
      <c r="C18" s="364" t="s">
        <v>618</v>
      </c>
      <c r="D18" s="364"/>
      <c r="E18" s="364"/>
      <c r="F18" s="364"/>
      <c r="G18" s="364"/>
      <c r="H18" s="364"/>
      <c r="I18" s="364"/>
      <c r="J18" s="364"/>
    </row>
    <row r="19" spans="1:10">
      <c r="A19" s="364">
        <v>15</v>
      </c>
      <c r="B19" s="364" t="s">
        <v>338</v>
      </c>
      <c r="C19" s="364" t="s">
        <v>349</v>
      </c>
      <c r="D19" s="364"/>
      <c r="E19" s="364"/>
      <c r="F19" s="364"/>
      <c r="G19" s="364"/>
      <c r="H19" s="364"/>
      <c r="I19" s="364"/>
      <c r="J19" s="364"/>
    </row>
    <row r="20" spans="1:10">
      <c r="A20" s="364">
        <v>16</v>
      </c>
      <c r="B20" s="364" t="s">
        <v>339</v>
      </c>
      <c r="C20" s="364" t="s">
        <v>350</v>
      </c>
      <c r="D20" s="364"/>
      <c r="E20" s="364"/>
      <c r="F20" s="364"/>
      <c r="G20" s="364"/>
      <c r="H20" s="364"/>
      <c r="I20" s="364"/>
      <c r="J20" s="364"/>
    </row>
    <row r="21" spans="1:10">
      <c r="A21" s="364">
        <v>17</v>
      </c>
      <c r="B21" s="364" t="s">
        <v>298</v>
      </c>
      <c r="C21" s="364" t="s">
        <v>298</v>
      </c>
      <c r="D21" s="364"/>
      <c r="E21" s="364"/>
      <c r="F21" s="364"/>
      <c r="G21" s="364"/>
      <c r="H21" s="364"/>
      <c r="I21" s="364"/>
      <c r="J21" s="364"/>
    </row>
    <row r="22" spans="1:10">
      <c r="A22" s="364"/>
      <c r="B22" s="364"/>
      <c r="C22" s="364"/>
      <c r="D22" s="364"/>
      <c r="E22" s="364"/>
      <c r="F22" s="364"/>
      <c r="G22" s="364"/>
      <c r="H22" s="364"/>
      <c r="I22" s="364"/>
      <c r="J22" s="364"/>
    </row>
    <row r="23" spans="1:10">
      <c r="A23" s="364" t="s">
        <v>318</v>
      </c>
      <c r="B23" s="364"/>
      <c r="C23" s="364"/>
      <c r="D23" s="364"/>
      <c r="E23" s="364"/>
      <c r="F23" s="364"/>
      <c r="G23" s="364"/>
      <c r="H23" s="364"/>
      <c r="I23" s="364"/>
      <c r="J23" s="364"/>
    </row>
    <row r="24" spans="1:10" ht="15.75">
      <c r="A24" s="364"/>
      <c r="B24" s="365" t="s">
        <v>307</v>
      </c>
      <c r="C24" s="366"/>
      <c r="D24" s="366"/>
      <c r="E24" s="366"/>
      <c r="F24" s="364"/>
      <c r="G24" s="364"/>
      <c r="H24" s="364"/>
      <c r="I24" s="364"/>
      <c r="J24" s="364"/>
    </row>
    <row r="25" spans="1:10" ht="15.75">
      <c r="A25" s="364"/>
      <c r="B25" s="367" t="s">
        <v>308</v>
      </c>
      <c r="C25" s="366"/>
      <c r="D25" s="366"/>
      <c r="E25" s="366"/>
      <c r="F25" s="364"/>
      <c r="G25" s="364"/>
      <c r="H25" s="364"/>
      <c r="I25" s="364"/>
      <c r="J25" s="364"/>
    </row>
    <row r="26" spans="1:10" ht="15.75">
      <c r="A26" s="364"/>
      <c r="B26" s="367" t="s">
        <v>309</v>
      </c>
      <c r="C26" s="366"/>
      <c r="D26" s="366"/>
      <c r="E26" s="366"/>
      <c r="F26" s="364"/>
      <c r="G26" s="364"/>
      <c r="H26" s="364"/>
      <c r="I26" s="364"/>
      <c r="J26" s="364"/>
    </row>
    <row r="27" spans="1:10" ht="15.75">
      <c r="A27" s="364"/>
      <c r="B27" s="368" t="s">
        <v>310</v>
      </c>
      <c r="C27" s="366"/>
      <c r="D27" s="366"/>
      <c r="E27" s="366"/>
      <c r="F27" s="364"/>
      <c r="G27" s="364"/>
      <c r="H27" s="364"/>
      <c r="I27" s="364"/>
      <c r="J27" s="364"/>
    </row>
    <row r="28" spans="1:10" ht="15.75">
      <c r="A28" s="364"/>
      <c r="B28" s="365" t="s">
        <v>311</v>
      </c>
      <c r="C28" s="366"/>
      <c r="D28" s="366"/>
      <c r="E28" s="366"/>
      <c r="F28" s="364"/>
      <c r="G28" s="364"/>
      <c r="H28" s="364"/>
      <c r="I28" s="364"/>
      <c r="J28" s="364"/>
    </row>
    <row r="29" spans="1:10" ht="15.75">
      <c r="A29" s="364"/>
      <c r="B29" s="367" t="s">
        <v>312</v>
      </c>
      <c r="C29" s="366"/>
      <c r="D29" s="366"/>
      <c r="E29" s="366"/>
      <c r="F29" s="364"/>
      <c r="G29" s="364"/>
      <c r="H29" s="364"/>
      <c r="I29" s="364"/>
      <c r="J29" s="364"/>
    </row>
    <row r="30" spans="1:10" ht="15.75">
      <c r="A30" s="364"/>
      <c r="B30" s="365" t="s">
        <v>313</v>
      </c>
      <c r="C30" s="366"/>
      <c r="D30" s="366"/>
      <c r="E30" s="366"/>
      <c r="F30" s="364"/>
      <c r="G30" s="364"/>
      <c r="H30" s="364"/>
      <c r="I30" s="364"/>
      <c r="J30" s="364"/>
    </row>
    <row r="31" spans="1:10" ht="15.75">
      <c r="A31" s="364"/>
      <c r="B31" s="365" t="s">
        <v>314</v>
      </c>
      <c r="C31" s="366"/>
      <c r="D31" s="366"/>
      <c r="E31" s="366"/>
      <c r="F31" s="364"/>
      <c r="G31" s="364"/>
      <c r="H31" s="364"/>
      <c r="I31" s="364"/>
      <c r="J31" s="364"/>
    </row>
    <row r="32" spans="1:10" ht="15.75">
      <c r="A32" s="364"/>
      <c r="B32" s="365" t="s">
        <v>315</v>
      </c>
      <c r="C32" s="366"/>
      <c r="D32" s="366"/>
      <c r="E32" s="366"/>
      <c r="F32" s="364"/>
      <c r="G32" s="364"/>
      <c r="H32" s="364"/>
      <c r="I32" s="364"/>
      <c r="J32" s="364"/>
    </row>
    <row r="33" spans="1:10" ht="15.75">
      <c r="A33" s="364"/>
      <c r="B33" s="365" t="s">
        <v>316</v>
      </c>
      <c r="C33" s="366"/>
      <c r="D33" s="366"/>
      <c r="E33" s="366"/>
      <c r="F33" s="364"/>
      <c r="G33" s="364"/>
      <c r="H33" s="364"/>
      <c r="I33" s="364"/>
      <c r="J33" s="364"/>
    </row>
    <row r="34" spans="1:10" ht="15.75">
      <c r="A34" s="364"/>
      <c r="B34" s="365" t="s">
        <v>317</v>
      </c>
      <c r="C34" s="366"/>
      <c r="D34" s="366"/>
      <c r="E34" s="366"/>
      <c r="F34" s="364"/>
      <c r="G34" s="364"/>
      <c r="H34" s="364"/>
      <c r="I34" s="364"/>
      <c r="J34" s="364"/>
    </row>
    <row r="35" spans="1:10" ht="15.75">
      <c r="A35" s="364"/>
      <c r="B35" s="365" t="s">
        <v>319</v>
      </c>
      <c r="C35" s="366"/>
      <c r="D35" s="366"/>
      <c r="E35" s="366"/>
      <c r="F35" s="364"/>
      <c r="G35" s="364"/>
      <c r="H35" s="364"/>
      <c r="I35" s="364"/>
      <c r="J35" s="364"/>
    </row>
    <row r="36" spans="1:10" ht="15.75">
      <c r="A36" s="364"/>
      <c r="B36" s="365" t="s">
        <v>320</v>
      </c>
      <c r="C36" s="366"/>
      <c r="D36" s="366"/>
      <c r="E36" s="366"/>
      <c r="F36" s="364"/>
      <c r="G36" s="364"/>
      <c r="H36" s="364"/>
      <c r="I36" s="364"/>
      <c r="J36" s="364"/>
    </row>
    <row r="37" spans="1:10" ht="15.75">
      <c r="A37" s="364"/>
      <c r="B37" s="368" t="s">
        <v>321</v>
      </c>
      <c r="C37" s="366"/>
      <c r="D37" s="366"/>
      <c r="E37" s="366"/>
      <c r="F37" s="364"/>
      <c r="G37" s="364"/>
      <c r="H37" s="364"/>
      <c r="I37" s="364"/>
      <c r="J37" s="364"/>
    </row>
    <row r="38" spans="1:10" ht="15.75">
      <c r="A38" s="364"/>
      <c r="B38" s="368" t="s">
        <v>322</v>
      </c>
      <c r="C38" s="366"/>
      <c r="D38" s="366"/>
      <c r="E38" s="366"/>
      <c r="F38" s="364"/>
      <c r="G38" s="364"/>
      <c r="H38" s="364"/>
      <c r="I38" s="364"/>
      <c r="J38" s="364"/>
    </row>
    <row r="39" spans="1:10" ht="15.75">
      <c r="A39" s="364"/>
      <c r="B39" s="368" t="s">
        <v>323</v>
      </c>
      <c r="C39" s="366"/>
      <c r="D39" s="366"/>
      <c r="E39" s="366"/>
      <c r="F39" s="364"/>
      <c r="G39" s="364"/>
      <c r="H39" s="364"/>
      <c r="I39" s="364"/>
      <c r="J39" s="364"/>
    </row>
    <row r="40" spans="1:10" ht="15.75">
      <c r="A40" s="364"/>
      <c r="B40" s="365" t="s">
        <v>324</v>
      </c>
      <c r="C40" s="366"/>
      <c r="D40" s="366"/>
      <c r="E40" s="366"/>
      <c r="F40" s="364"/>
      <c r="G40" s="364"/>
      <c r="H40" s="364"/>
      <c r="I40" s="364"/>
      <c r="J40" s="364"/>
    </row>
    <row r="41" spans="1:10" ht="15.75">
      <c r="A41" s="364"/>
      <c r="B41" s="367" t="s">
        <v>325</v>
      </c>
      <c r="C41" s="366"/>
      <c r="D41" s="366"/>
      <c r="E41" s="366"/>
      <c r="F41" s="364"/>
      <c r="G41" s="364"/>
      <c r="H41" s="364"/>
      <c r="I41" s="364"/>
      <c r="J41" s="364"/>
    </row>
    <row r="42" spans="1:10" ht="15.75">
      <c r="A42" s="364"/>
      <c r="B42" s="367" t="s">
        <v>326</v>
      </c>
      <c r="C42" s="366"/>
      <c r="D42" s="366"/>
      <c r="E42" s="366"/>
      <c r="F42" s="364"/>
      <c r="G42" s="364"/>
      <c r="H42" s="364"/>
      <c r="I42" s="364"/>
      <c r="J42" s="364"/>
    </row>
    <row r="43" spans="1:10" ht="15.75">
      <c r="A43" s="364"/>
      <c r="B43" s="365" t="s">
        <v>327</v>
      </c>
      <c r="C43" s="366"/>
      <c r="D43" s="366"/>
      <c r="E43" s="366"/>
      <c r="F43" s="364"/>
      <c r="G43" s="364"/>
      <c r="H43" s="364"/>
      <c r="I43" s="364"/>
      <c r="J43" s="364"/>
    </row>
    <row r="44" spans="1:10" ht="15.75">
      <c r="A44" s="364"/>
      <c r="B44" s="367" t="s">
        <v>328</v>
      </c>
      <c r="C44" s="366"/>
      <c r="D44" s="366"/>
      <c r="E44" s="366"/>
      <c r="F44" s="364"/>
      <c r="G44" s="364"/>
      <c r="H44" s="364"/>
      <c r="I44" s="364"/>
      <c r="J44" s="364"/>
    </row>
    <row r="45" spans="1:10" ht="15.75">
      <c r="A45" s="364"/>
      <c r="B45" s="365" t="s">
        <v>329</v>
      </c>
      <c r="C45" s="366"/>
      <c r="D45" s="366"/>
      <c r="E45" s="366"/>
      <c r="F45" s="364"/>
      <c r="G45" s="364"/>
      <c r="H45" s="364"/>
      <c r="I45" s="364"/>
      <c r="J45" s="364"/>
    </row>
    <row r="46" spans="1:10" ht="15.75">
      <c r="A46" s="364"/>
      <c r="B46" s="367" t="s">
        <v>330</v>
      </c>
      <c r="C46" s="366"/>
      <c r="D46" s="366"/>
      <c r="E46" s="366"/>
      <c r="F46" s="364"/>
      <c r="G46" s="364"/>
      <c r="H46" s="364"/>
      <c r="I46" s="364"/>
      <c r="J46" s="364"/>
    </row>
    <row r="47" spans="1:10" ht="15.75">
      <c r="A47" s="364"/>
      <c r="B47" s="367" t="s">
        <v>331</v>
      </c>
      <c r="C47" s="366"/>
      <c r="D47" s="366"/>
      <c r="E47" s="366"/>
      <c r="F47" s="364"/>
      <c r="G47" s="364"/>
      <c r="H47" s="364"/>
      <c r="I47" s="364"/>
      <c r="J47" s="364"/>
    </row>
    <row r="48" spans="1:10" ht="15.75">
      <c r="A48" s="364"/>
      <c r="B48" s="365" t="s">
        <v>332</v>
      </c>
      <c r="C48" s="366"/>
      <c r="D48" s="366"/>
      <c r="E48" s="366"/>
      <c r="F48" s="364"/>
      <c r="G48" s="364"/>
      <c r="H48" s="364"/>
      <c r="I48" s="364"/>
      <c r="J48" s="364"/>
    </row>
    <row r="49" spans="1:10" ht="15.75">
      <c r="A49" s="364"/>
      <c r="B49" s="365" t="s">
        <v>333</v>
      </c>
      <c r="C49" s="366"/>
      <c r="D49" s="366"/>
      <c r="E49" s="366"/>
      <c r="F49" s="364"/>
      <c r="G49" s="364"/>
      <c r="H49" s="364"/>
      <c r="I49" s="364"/>
      <c r="J49" s="364"/>
    </row>
    <row r="50" spans="1:10" ht="15.75">
      <c r="A50" s="364"/>
      <c r="B50" s="365" t="s">
        <v>334</v>
      </c>
      <c r="C50" s="366"/>
      <c r="D50" s="366"/>
      <c r="E50" s="366"/>
      <c r="F50" s="364"/>
      <c r="G50" s="364"/>
      <c r="H50" s="364"/>
      <c r="I50" s="364"/>
      <c r="J50" s="364"/>
    </row>
    <row r="51" spans="1:10" ht="15.75">
      <c r="A51" s="364"/>
      <c r="B51" s="365" t="s">
        <v>335</v>
      </c>
      <c r="C51" s="366"/>
      <c r="D51" s="366"/>
      <c r="E51" s="366"/>
      <c r="F51" s="364"/>
      <c r="G51" s="364"/>
      <c r="H51" s="364"/>
      <c r="I51" s="364"/>
      <c r="J51" s="364"/>
    </row>
    <row r="52" spans="1:10" ht="15.75">
      <c r="A52" s="364"/>
      <c r="B52" s="365" t="s">
        <v>336</v>
      </c>
      <c r="C52" s="366"/>
      <c r="D52" s="366"/>
      <c r="E52" s="366"/>
      <c r="F52" s="364"/>
      <c r="G52" s="364"/>
      <c r="H52" s="364"/>
      <c r="I52" s="364"/>
      <c r="J52" s="364"/>
    </row>
    <row r="53" spans="1:10">
      <c r="A53" s="364"/>
      <c r="B53" s="364"/>
      <c r="C53" s="364"/>
      <c r="D53" s="364"/>
      <c r="E53" s="364"/>
      <c r="F53" s="364"/>
      <c r="G53" s="364"/>
      <c r="H53" s="364"/>
      <c r="I53" s="364"/>
      <c r="J53" s="364"/>
    </row>
  </sheetData>
  <sheetProtection password="8CE6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34"/>
  <sheetViews>
    <sheetView topLeftCell="A5" workbookViewId="0">
      <selection activeCell="B34" sqref="B34"/>
    </sheetView>
  </sheetViews>
  <sheetFormatPr defaultRowHeight="15"/>
  <cols>
    <col min="1" max="1" width="72.85546875" customWidth="1"/>
    <col min="2" max="2" width="68.42578125" customWidth="1"/>
  </cols>
  <sheetData>
    <row r="1" spans="1:2">
      <c r="A1" t="s">
        <v>305</v>
      </c>
      <c r="B1" t="s">
        <v>358</v>
      </c>
    </row>
    <row r="2" spans="1:2">
      <c r="A2" s="89" t="s">
        <v>357</v>
      </c>
    </row>
    <row r="3" spans="1:2">
      <c r="A3" s="89"/>
    </row>
    <row r="4" spans="1:2" ht="30">
      <c r="A4" s="371" t="s">
        <v>212</v>
      </c>
      <c r="B4" s="370" t="s">
        <v>359</v>
      </c>
    </row>
    <row r="5" spans="1:2">
      <c r="A5" s="92" t="s">
        <v>78</v>
      </c>
      <c r="B5" t="s">
        <v>360</v>
      </c>
    </row>
    <row r="6" spans="1:2">
      <c r="A6" s="92" t="s">
        <v>79</v>
      </c>
      <c r="B6" t="s">
        <v>361</v>
      </c>
    </row>
    <row r="7" spans="1:2">
      <c r="A7" s="92" t="s">
        <v>82</v>
      </c>
      <c r="B7" t="s">
        <v>362</v>
      </c>
    </row>
    <row r="8" spans="1:2">
      <c r="A8" s="92" t="s">
        <v>90</v>
      </c>
      <c r="B8" t="s">
        <v>363</v>
      </c>
    </row>
    <row r="9" spans="1:2">
      <c r="A9" s="92" t="s">
        <v>87</v>
      </c>
      <c r="B9" t="s">
        <v>365</v>
      </c>
    </row>
    <row r="10" spans="1:2">
      <c r="A10" s="92" t="s">
        <v>88</v>
      </c>
      <c r="B10" t="s">
        <v>365</v>
      </c>
    </row>
    <row r="11" spans="1:2">
      <c r="A11" s="92" t="s">
        <v>89</v>
      </c>
      <c r="B11" t="s">
        <v>363</v>
      </c>
    </row>
    <row r="12" spans="1:2" ht="30">
      <c r="A12" s="371" t="s">
        <v>113</v>
      </c>
      <c r="B12" s="370" t="s">
        <v>364</v>
      </c>
    </row>
    <row r="13" spans="1:2">
      <c r="A13" s="92" t="s">
        <v>91</v>
      </c>
      <c r="B13" t="s">
        <v>365</v>
      </c>
    </row>
    <row r="14" spans="1:2">
      <c r="A14" s="92" t="s">
        <v>93</v>
      </c>
      <c r="B14" t="s">
        <v>365</v>
      </c>
    </row>
    <row r="15" spans="1:2">
      <c r="A15" s="92" t="s">
        <v>366</v>
      </c>
      <c r="B15" t="s">
        <v>367</v>
      </c>
    </row>
    <row r="16" spans="1:2">
      <c r="A16" s="135" t="s">
        <v>94</v>
      </c>
      <c r="B16" t="s">
        <v>365</v>
      </c>
    </row>
    <row r="17" spans="1:2">
      <c r="A17" s="369" t="s">
        <v>372</v>
      </c>
      <c r="B17" s="364" t="s">
        <v>343</v>
      </c>
    </row>
    <row r="18" spans="1:2">
      <c r="A18" s="135" t="s">
        <v>373</v>
      </c>
      <c r="B18" s="364" t="s">
        <v>365</v>
      </c>
    </row>
    <row r="19" spans="1:2">
      <c r="A19" s="9" t="s">
        <v>95</v>
      </c>
      <c r="B19" t="s">
        <v>365</v>
      </c>
    </row>
    <row r="20" spans="1:2">
      <c r="A20" s="92" t="s">
        <v>368</v>
      </c>
      <c r="B20" t="s">
        <v>369</v>
      </c>
    </row>
    <row r="21" spans="1:2">
      <c r="A21" s="92" t="s">
        <v>96</v>
      </c>
      <c r="B21" t="s">
        <v>593</v>
      </c>
    </row>
    <row r="22" spans="1:2">
      <c r="A22" s="92" t="s">
        <v>250</v>
      </c>
      <c r="B22" t="s">
        <v>595</v>
      </c>
    </row>
    <row r="23" spans="1:2">
      <c r="A23" s="369" t="s">
        <v>263</v>
      </c>
      <c r="B23" t="s">
        <v>594</v>
      </c>
    </row>
    <row r="24" spans="1:2">
      <c r="A24" s="347" t="s">
        <v>264</v>
      </c>
      <c r="B24" t="s">
        <v>623</v>
      </c>
    </row>
    <row r="25" spans="1:2">
      <c r="A25" s="369" t="s">
        <v>301</v>
      </c>
      <c r="B25" t="s">
        <v>365</v>
      </c>
    </row>
    <row r="26" spans="1:2">
      <c r="A26" s="369" t="s">
        <v>302</v>
      </c>
      <c r="B26" t="s">
        <v>365</v>
      </c>
    </row>
    <row r="27" spans="1:2">
      <c r="A27" s="369" t="s">
        <v>303</v>
      </c>
      <c r="B27" t="s">
        <v>594</v>
      </c>
    </row>
    <row r="28" spans="1:2">
      <c r="A28" s="369" t="s">
        <v>304</v>
      </c>
      <c r="B28" t="s">
        <v>365</v>
      </c>
    </row>
    <row r="29" spans="1:2">
      <c r="A29" s="875" t="s">
        <v>354</v>
      </c>
      <c r="B29" t="s">
        <v>595</v>
      </c>
    </row>
    <row r="30" spans="1:2">
      <c r="A30" s="369" t="s">
        <v>355</v>
      </c>
      <c r="B30" t="s">
        <v>365</v>
      </c>
    </row>
    <row r="31" spans="1:2">
      <c r="A31" s="369" t="s">
        <v>356</v>
      </c>
      <c r="B31" t="s">
        <v>595</v>
      </c>
    </row>
    <row r="32" spans="1:2">
      <c r="A32" s="369" t="s">
        <v>370</v>
      </c>
      <c r="B32" t="s">
        <v>365</v>
      </c>
    </row>
    <row r="33" spans="1:1">
      <c r="A33" s="347" t="s">
        <v>371</v>
      </c>
    </row>
    <row r="34" spans="1:1">
      <c r="A34" s="89" t="s">
        <v>622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EZ ECell</vt:lpstr>
      <vt:lpstr>E Cell Calculator</vt:lpstr>
      <vt:lpstr>Unit Costs</vt:lpstr>
      <vt:lpstr>Guide Notes</vt:lpstr>
      <vt:lpstr>Revision Notes</vt:lpstr>
      <vt:lpstr>BackFilFltHrs</vt:lpstr>
      <vt:lpstr>DblPipeCrewHrs</vt:lpstr>
      <vt:lpstr>DblPipeInstCrewHrs</vt:lpstr>
      <vt:lpstr>DozerMaterial</vt:lpstr>
      <vt:lpstr>FenceCrewHrs</vt:lpstr>
      <vt:lpstr>GrowthMedFltHrs</vt:lpstr>
      <vt:lpstr>incremental</vt:lpstr>
      <vt:lpstr>KeyTrchFltHrs</vt:lpstr>
      <vt:lpstr>OneSix</vt:lpstr>
      <vt:lpstr>PonExFltHrs</vt:lpstr>
      <vt:lpstr>'E Cell Calculator'!Print_Area</vt:lpstr>
      <vt:lpstr>'EZ ECell'!Print_Area</vt:lpstr>
      <vt:lpstr>'Unit Costs'!Print_Area</vt:lpstr>
      <vt:lpstr>'E Cell Calculator'!Print_Titles</vt:lpstr>
      <vt:lpstr>Result1</vt:lpstr>
      <vt:lpstr>Result10</vt:lpstr>
      <vt:lpstr>Result11</vt:lpstr>
      <vt:lpstr>Result12</vt:lpstr>
      <vt:lpstr>Result13</vt:lpstr>
      <vt:lpstr>Result2</vt:lpstr>
      <vt:lpstr>Result3</vt:lpstr>
      <vt:lpstr>Result4</vt:lpstr>
      <vt:lpstr>Result5</vt:lpstr>
      <vt:lpstr>Result6</vt:lpstr>
      <vt:lpstr>Result7</vt:lpstr>
      <vt:lpstr>Result8</vt:lpstr>
      <vt:lpstr>Result9</vt:lpstr>
      <vt:lpstr>UserInput1</vt:lpstr>
      <vt:lpstr>UserInput2</vt:lpstr>
      <vt:lpstr>UserInput3</vt:lpstr>
      <vt:lpstr>VacTruckFltHrs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Std E-Cell Conversion Cost Estimator</dc:title>
  <dc:creator>Shawn K. Gooch, P.E., NDEP Bureau of Mining</dc:creator>
  <cp:lastModifiedBy>Lisa Kreskey</cp:lastModifiedBy>
  <cp:lastPrinted>2012-12-11T22:16:26Z</cp:lastPrinted>
  <dcterms:created xsi:type="dcterms:W3CDTF">2010-11-05T17:29:19Z</dcterms:created>
  <dcterms:modified xsi:type="dcterms:W3CDTF">2018-12-10T21:56:05Z</dcterms:modified>
  <cp:contentStatus>Work in Progress, Not Vetted by Industry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Name" linkTarget="File_Name">
    <vt:lpwstr>#REF!</vt:lpwstr>
  </property>
  <property fmtid="{D5CDD505-2E9C-101B-9397-08002B2CF9AE}" pid="3" name="Destination">
    <vt:lpwstr>mars</vt:lpwstr>
  </property>
</Properties>
</file>